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040" windowWidth="24030" windowHeight="5100" tabRatio="947"/>
  </bookViews>
  <sheets>
    <sheet name="Plant Total by Account" sheetId="109" r:id="rId1"/>
    <sheet name="High-Low Volt Summary" sheetId="115" r:id="rId2"/>
    <sheet name="High_Low Voltage Mix Summary" sheetId="114" r:id="rId3"/>
    <sheet name="Prior Year Comparison" sheetId="134" r:id="rId4"/>
    <sheet name="Assumptions" sheetId="133" r:id="rId5"/>
    <sheet name="TS by Location" sheetId="110" r:id="rId6"/>
    <sheet name="ISO w_System Splits" sheetId="131" r:id="rId7"/>
    <sheet name="DS by Location" sheetId="108" r:id="rId8"/>
    <sheet name="Mix Substation Location Summary" sheetId="81" r:id="rId9"/>
    <sheet name="TL COST SUMMARY" sheetId="132" r:id="rId10"/>
    <sheet name="Trans Line Reconciliation" sheetId="116" r:id="rId11"/>
    <sheet name="Antelope Bailey Split BA" sheetId="123" r:id="rId12"/>
  </sheets>
  <externalReferences>
    <externalReference r:id="rId13"/>
  </externalReferences>
  <definedNames>
    <definedName name="_Fill" localSheetId="11" hidden="1">#REF!</definedName>
    <definedName name="_Fill" hidden="1">#REF!</definedName>
    <definedName name="_xlnm._FilterDatabase" localSheetId="11" hidden="1">'Antelope Bailey Split BA'!$A$6:$BP$29</definedName>
    <definedName name="_xlnm._FilterDatabase" localSheetId="7" hidden="1">'DS by Location'!$A$8:$AC$860</definedName>
    <definedName name="_xlnm._FilterDatabase" localSheetId="6" hidden="1">'ISO w_System Splits'!$A$7:$P$633</definedName>
    <definedName name="_xlnm._FilterDatabase" localSheetId="8" hidden="1">'Mix Substation Location Summary'!$A$3:$Z$108</definedName>
    <definedName name="_xlnm._FilterDatabase" localSheetId="9" hidden="1">'TL COST SUMMARY'!$A$7:$O$553</definedName>
    <definedName name="_xlnm._FilterDatabase" localSheetId="10" hidden="1">'Trans Line Reconciliation'!$A$4:$AQ$84</definedName>
    <definedName name="_xlnm._FilterDatabase" localSheetId="5" hidden="1">'TS by Location'!$A$9:$W$449</definedName>
    <definedName name="_Key2" localSheetId="11" hidden="1">[1]ACCT_106!#REF!</definedName>
    <definedName name="_Key2" hidden="1">[1]ACCT_106!#REF!</definedName>
    <definedName name="_Order1" hidden="1">255</definedName>
    <definedName name="_Order2" hidden="1">255</definedName>
    <definedName name="_xlnm.Print_Area" localSheetId="11">'Antelope Bailey Split BA'!$A$1:$Y$36</definedName>
    <definedName name="_xlnm.Print_Area" localSheetId="4">Assumptions!$A$1:$H$44</definedName>
    <definedName name="_xlnm.Print_Area" localSheetId="7">'DS by Location'!$A$1:$M$863</definedName>
    <definedName name="_xlnm.Print_Area" localSheetId="1">'High-Low Volt Summary'!$B$1:$K$50</definedName>
    <definedName name="_xlnm.Print_Area" localSheetId="6">'ISO w_System Splits'!$A$1:$P$617</definedName>
    <definedName name="_xlnm.Print_Area" localSheetId="0">'Plant Total by Account'!$A$1:$E$39</definedName>
    <definedName name="_xlnm.Print_Area" localSheetId="9">'TL COST SUMMARY'!$A$1:$M$390</definedName>
    <definedName name="_xlnm.Print_Area" localSheetId="10">'Trans Line Reconciliation'!$A$1:$AO$84</definedName>
    <definedName name="_xlnm.Print_Area" localSheetId="5">'TS by Location'!$A$1:$O$474</definedName>
    <definedName name="_xlnm.Print_Titles" localSheetId="7">'DS by Location'!$A:$C,'DS by Location'!$1:$7</definedName>
    <definedName name="_xlnm.Print_Titles" localSheetId="6">'ISO w_System Splits'!$6:$7</definedName>
    <definedName name="_xlnm.Print_Titles" localSheetId="8">'Mix Substation Location Summary'!$A:$B,'Mix Substation Location Summary'!$1:$3</definedName>
    <definedName name="_xlnm.Print_Titles" localSheetId="9">'TL COST SUMMARY'!$1:$7</definedName>
    <definedName name="_xlnm.Print_Titles" localSheetId="10">'Trans Line Reconciliation'!$A:$A,'Trans Line Reconciliation'!$1:$4</definedName>
    <definedName name="_xlnm.Print_Titles" localSheetId="5">'TS by Location'!$A:$C,'TS by Location'!$1:$8</definedName>
  </definedNames>
  <calcPr calcId="145621"/>
</workbook>
</file>

<file path=xl/calcChain.xml><?xml version="1.0" encoding="utf-8"?>
<calcChain xmlns="http://schemas.openxmlformats.org/spreadsheetml/2006/main">
  <c r="E12" i="109" l="1"/>
  <c r="E13" i="109"/>
  <c r="E14" i="109"/>
  <c r="E17" i="109"/>
  <c r="E18" i="109"/>
  <c r="E19" i="109"/>
  <c r="E20" i="109"/>
  <c r="E21" i="109"/>
  <c r="E22" i="109"/>
  <c r="E23" i="109"/>
  <c r="E9" i="109"/>
  <c r="G23" i="110" l="1"/>
  <c r="P465" i="110" l="1"/>
  <c r="S465" i="110"/>
  <c r="T465" i="110" s="1"/>
  <c r="G465" i="110"/>
  <c r="G291" i="110"/>
  <c r="M339" i="110"/>
  <c r="L339" i="110"/>
  <c r="K339" i="110"/>
  <c r="J339" i="110"/>
  <c r="I339" i="110"/>
  <c r="H339" i="110"/>
  <c r="M335" i="110"/>
  <c r="L335" i="110"/>
  <c r="K335" i="110"/>
  <c r="J335" i="110"/>
  <c r="I335" i="110"/>
  <c r="H335" i="110"/>
  <c r="D16" i="133"/>
  <c r="D18" i="133"/>
  <c r="D15" i="133"/>
  <c r="D36" i="133"/>
  <c r="D34" i="133"/>
  <c r="D22" i="133"/>
  <c r="D17" i="133"/>
  <c r="D32" i="133"/>
  <c r="D28" i="133"/>
  <c r="D30" i="133"/>
  <c r="D21" i="133"/>
  <c r="D20" i="133"/>
  <c r="D23" i="133"/>
  <c r="D26" i="133"/>
  <c r="D29" i="133"/>
  <c r="D31" i="133"/>
  <c r="D25" i="133"/>
  <c r="D24" i="133"/>
  <c r="D33" i="133"/>
  <c r="D35" i="133"/>
  <c r="D27" i="133"/>
  <c r="D19" i="133"/>
  <c r="L92" i="110"/>
  <c r="M92" i="110"/>
  <c r="K92" i="110"/>
  <c r="BH7" i="123"/>
  <c r="AX7" i="123"/>
  <c r="AY7" i="123"/>
  <c r="AZ7" i="123"/>
  <c r="BA7" i="123"/>
  <c r="BB7" i="123"/>
  <c r="BC7" i="123"/>
  <c r="BI7" i="123"/>
  <c r="BJ7" i="123"/>
  <c r="BK7" i="123"/>
  <c r="BL7" i="123"/>
  <c r="BM7" i="123"/>
  <c r="AX27" i="123"/>
  <c r="AY27" i="123"/>
  <c r="AZ27" i="123"/>
  <c r="BA27" i="123"/>
  <c r="BB27" i="123"/>
  <c r="BC27" i="123"/>
  <c r="BH27" i="123"/>
  <c r="BI27" i="123"/>
  <c r="BJ27" i="123"/>
  <c r="BK27" i="123"/>
  <c r="BL27" i="123"/>
  <c r="BM27" i="123"/>
  <c r="L27" i="123"/>
  <c r="BD27" i="123" s="1"/>
  <c r="M27" i="123"/>
  <c r="BE27" i="123" s="1"/>
  <c r="N27" i="123"/>
  <c r="BF27" i="123" s="1"/>
  <c r="V27" i="123"/>
  <c r="BN27" i="123" s="1"/>
  <c r="W27" i="123"/>
  <c r="BO27" i="123" s="1"/>
  <c r="X27" i="123"/>
  <c r="BP27" i="123" s="1"/>
  <c r="AB858" i="108"/>
  <c r="AC858" i="108" s="1"/>
  <c r="P473" i="110"/>
  <c r="P472" i="110"/>
  <c r="P471" i="110"/>
  <c r="Q471" i="110" s="1"/>
  <c r="P470" i="110"/>
  <c r="P469" i="110"/>
  <c r="P468" i="110"/>
  <c r="P467" i="110"/>
  <c r="Q467" i="110" s="1"/>
  <c r="P466" i="110"/>
  <c r="P464" i="110"/>
  <c r="P463" i="110"/>
  <c r="P462" i="110"/>
  <c r="P461" i="110"/>
  <c r="Q461" i="110" s="1"/>
  <c r="P460" i="110"/>
  <c r="P459" i="110"/>
  <c r="P458" i="110"/>
  <c r="P457" i="110"/>
  <c r="P456" i="110"/>
  <c r="P455" i="110"/>
  <c r="P454" i="110"/>
  <c r="P453" i="110"/>
  <c r="P448" i="110"/>
  <c r="P447" i="110"/>
  <c r="Q447" i="110" s="1"/>
  <c r="P446" i="110"/>
  <c r="P445" i="110"/>
  <c r="Q445" i="110" s="1"/>
  <c r="P444" i="110"/>
  <c r="Q444" i="110" s="1"/>
  <c r="P443" i="110"/>
  <c r="P442" i="110"/>
  <c r="P441" i="110"/>
  <c r="Q441" i="110" s="1"/>
  <c r="P440" i="110"/>
  <c r="P439" i="110"/>
  <c r="P438" i="110"/>
  <c r="Q438" i="110" s="1"/>
  <c r="P437" i="110"/>
  <c r="Q437" i="110" s="1"/>
  <c r="P436" i="110"/>
  <c r="Q436" i="110" s="1"/>
  <c r="P435" i="110"/>
  <c r="P434" i="110"/>
  <c r="Q434" i="110" s="1"/>
  <c r="P433" i="110"/>
  <c r="Q433" i="110" s="1"/>
  <c r="P432" i="110"/>
  <c r="Q432" i="110" s="1"/>
  <c r="P431" i="110"/>
  <c r="P430" i="110"/>
  <c r="P429" i="110"/>
  <c r="Q429" i="110" s="1"/>
  <c r="P428" i="110"/>
  <c r="P427" i="110"/>
  <c r="Q427" i="110" s="1"/>
  <c r="P426" i="110"/>
  <c r="Q426" i="110" s="1"/>
  <c r="P425" i="110"/>
  <c r="Q425" i="110" s="1"/>
  <c r="P424" i="110"/>
  <c r="P423" i="110"/>
  <c r="P422" i="110"/>
  <c r="P421" i="110"/>
  <c r="Q421" i="110" s="1"/>
  <c r="P420" i="110"/>
  <c r="P419" i="110"/>
  <c r="P418" i="110"/>
  <c r="Q418" i="110" s="1"/>
  <c r="P417" i="110"/>
  <c r="Q417" i="110" s="1"/>
  <c r="P416" i="110"/>
  <c r="P415" i="110"/>
  <c r="P414" i="110"/>
  <c r="Q414" i="110" s="1"/>
  <c r="P413" i="110"/>
  <c r="Q413" i="110" s="1"/>
  <c r="P412" i="110"/>
  <c r="P411" i="110"/>
  <c r="P410" i="110"/>
  <c r="Q410" i="110" s="1"/>
  <c r="P409" i="110"/>
  <c r="Q409" i="110" s="1"/>
  <c r="P408" i="110"/>
  <c r="P407" i="110"/>
  <c r="P406" i="110"/>
  <c r="Q406" i="110" s="1"/>
  <c r="P405" i="110"/>
  <c r="Q405" i="110" s="1"/>
  <c r="P404" i="110"/>
  <c r="Q404" i="110" s="1"/>
  <c r="P403" i="110"/>
  <c r="P402" i="110"/>
  <c r="Q402" i="110" s="1"/>
  <c r="P401" i="110"/>
  <c r="Q401" i="110" s="1"/>
  <c r="P400" i="110"/>
  <c r="P399" i="110"/>
  <c r="Q399" i="110" s="1"/>
  <c r="P398" i="110"/>
  <c r="Q398" i="110" s="1"/>
  <c r="P397" i="110"/>
  <c r="Q397" i="110" s="1"/>
  <c r="P396" i="110"/>
  <c r="P395" i="110"/>
  <c r="Q395" i="110" s="1"/>
  <c r="P394" i="110"/>
  <c r="Q394" i="110" s="1"/>
  <c r="P393" i="110"/>
  <c r="Q393" i="110" s="1"/>
  <c r="P392" i="110"/>
  <c r="P391" i="110"/>
  <c r="P390" i="110"/>
  <c r="Q390" i="110" s="1"/>
  <c r="P389" i="110"/>
  <c r="Q389" i="110" s="1"/>
  <c r="P388" i="110"/>
  <c r="P387" i="110"/>
  <c r="P386" i="110"/>
  <c r="Q386" i="110" s="1"/>
  <c r="P385" i="110"/>
  <c r="Q385" i="110" s="1"/>
  <c r="P384" i="110"/>
  <c r="P383" i="110"/>
  <c r="Q383" i="110" s="1"/>
  <c r="P382" i="110"/>
  <c r="Q382" i="110" s="1"/>
  <c r="P381" i="110"/>
  <c r="Q381" i="110" s="1"/>
  <c r="P380" i="110"/>
  <c r="P379" i="110"/>
  <c r="P378" i="110"/>
  <c r="Q378" i="110" s="1"/>
  <c r="P377" i="110"/>
  <c r="Q377" i="110" s="1"/>
  <c r="P376" i="110"/>
  <c r="P375" i="110"/>
  <c r="P374" i="110"/>
  <c r="Q374" i="110" s="1"/>
  <c r="P373" i="110"/>
  <c r="Q373" i="110" s="1"/>
  <c r="P372" i="110"/>
  <c r="P371" i="110"/>
  <c r="Q371" i="110" s="1"/>
  <c r="P370" i="110"/>
  <c r="Q370" i="110" s="1"/>
  <c r="P369" i="110"/>
  <c r="Q369" i="110" s="1"/>
  <c r="P368" i="110"/>
  <c r="Q368" i="110" s="1"/>
  <c r="P367" i="110"/>
  <c r="Q367" i="110" s="1"/>
  <c r="P366" i="110"/>
  <c r="Q366" i="110" s="1"/>
  <c r="P365" i="110"/>
  <c r="Q365" i="110" s="1"/>
  <c r="P364" i="110"/>
  <c r="Q364" i="110"/>
  <c r="P363" i="110"/>
  <c r="P362" i="110"/>
  <c r="Q362" i="110" s="1"/>
  <c r="P361" i="110"/>
  <c r="P360" i="110"/>
  <c r="Q360" i="110" s="1"/>
  <c r="P359" i="110"/>
  <c r="Q359" i="110" s="1"/>
  <c r="P358" i="110"/>
  <c r="Q358" i="110" s="1"/>
  <c r="P357" i="110"/>
  <c r="P356" i="110"/>
  <c r="P355" i="110"/>
  <c r="Q355" i="110" s="1"/>
  <c r="P354" i="110"/>
  <c r="Q354" i="110" s="1"/>
  <c r="P353" i="110"/>
  <c r="P352" i="110"/>
  <c r="Q352" i="110" s="1"/>
  <c r="P351" i="110"/>
  <c r="Q351" i="110" s="1"/>
  <c r="P350" i="110"/>
  <c r="Q350" i="110" s="1"/>
  <c r="P349" i="110"/>
  <c r="P348" i="110"/>
  <c r="P347" i="110"/>
  <c r="Q347" i="110" s="1"/>
  <c r="P346" i="110"/>
  <c r="Q346" i="110" s="1"/>
  <c r="P345" i="110"/>
  <c r="P344" i="110"/>
  <c r="P343" i="110"/>
  <c r="Q343" i="110" s="1"/>
  <c r="P342" i="110"/>
  <c r="Q342" i="110" s="1"/>
  <c r="P341" i="110"/>
  <c r="Q341" i="110" s="1"/>
  <c r="P340" i="110"/>
  <c r="P339" i="110"/>
  <c r="Q339" i="110" s="1"/>
  <c r="P338" i="110"/>
  <c r="Q338" i="110" s="1"/>
  <c r="P337" i="110"/>
  <c r="P336" i="110"/>
  <c r="P335" i="110"/>
  <c r="Q335" i="110" s="1"/>
  <c r="P334" i="110"/>
  <c r="Q334" i="110" s="1"/>
  <c r="P92" i="110"/>
  <c r="P333" i="110"/>
  <c r="P332" i="110"/>
  <c r="Q332" i="110" s="1"/>
  <c r="P331" i="110"/>
  <c r="Q331" i="110" s="1"/>
  <c r="P330" i="110"/>
  <c r="Q330" i="110" s="1"/>
  <c r="P329" i="110"/>
  <c r="P328" i="110"/>
  <c r="Q328" i="110" s="1"/>
  <c r="P327" i="110"/>
  <c r="Q327" i="110" s="1"/>
  <c r="P326" i="110"/>
  <c r="P325" i="110"/>
  <c r="P324" i="110"/>
  <c r="Q324" i="110" s="1"/>
  <c r="P323" i="110"/>
  <c r="Q323" i="110" s="1"/>
  <c r="P322" i="110"/>
  <c r="P321" i="110"/>
  <c r="P320" i="110"/>
  <c r="P319" i="110"/>
  <c r="Q319" i="110" s="1"/>
  <c r="P318" i="110"/>
  <c r="Q318" i="110" s="1"/>
  <c r="P317" i="110"/>
  <c r="P316" i="110"/>
  <c r="Q316" i="110" s="1"/>
  <c r="P315" i="110"/>
  <c r="Q315" i="110" s="1"/>
  <c r="P314" i="110"/>
  <c r="P313" i="110"/>
  <c r="P312" i="110"/>
  <c r="P311" i="110"/>
  <c r="Q311" i="110" s="1"/>
  <c r="P310" i="110"/>
  <c r="Q310" i="110"/>
  <c r="P309" i="110"/>
  <c r="Q309" i="110" s="1"/>
  <c r="P307" i="110"/>
  <c r="Q307" i="110" s="1"/>
  <c r="K307" i="110" s="1"/>
  <c r="P306" i="110"/>
  <c r="Q306" i="110" s="1"/>
  <c r="P305" i="110"/>
  <c r="Q305" i="110" s="1"/>
  <c r="K305" i="110" s="1"/>
  <c r="P304" i="110"/>
  <c r="Q304" i="110" s="1"/>
  <c r="K304" i="110" s="1"/>
  <c r="P303" i="110"/>
  <c r="P302" i="110"/>
  <c r="P301" i="110"/>
  <c r="P300" i="110"/>
  <c r="Q300" i="110" s="1"/>
  <c r="K300" i="110" s="1"/>
  <c r="P299" i="110"/>
  <c r="Q299" i="110" s="1"/>
  <c r="M299" i="110" s="1"/>
  <c r="P298" i="110"/>
  <c r="P297" i="110"/>
  <c r="Q297" i="110" s="1"/>
  <c r="M297" i="110" s="1"/>
  <c r="P296" i="110"/>
  <c r="Q296" i="110" s="1"/>
  <c r="K296" i="110" s="1"/>
  <c r="P295" i="110"/>
  <c r="Q295" i="110" s="1"/>
  <c r="N295" i="110" s="1"/>
  <c r="P293" i="110"/>
  <c r="P292" i="110"/>
  <c r="P291" i="110"/>
  <c r="Q291" i="110" s="1"/>
  <c r="J291" i="110" s="1"/>
  <c r="P81" i="110"/>
  <c r="Q81" i="110" s="1"/>
  <c r="P80" i="110"/>
  <c r="Q80" i="110" s="1"/>
  <c r="P79" i="110"/>
  <c r="Q79" i="110" s="1"/>
  <c r="P78" i="110"/>
  <c r="Q78" i="110" s="1"/>
  <c r="P72" i="110"/>
  <c r="Q72" i="110" s="1"/>
  <c r="P68" i="110"/>
  <c r="Q68" i="110" s="1"/>
  <c r="P67" i="110"/>
  <c r="P66" i="110"/>
  <c r="Q66" i="110" s="1"/>
  <c r="P65" i="110"/>
  <c r="Q65" i="110" s="1"/>
  <c r="P64" i="110"/>
  <c r="P63" i="110"/>
  <c r="P62" i="110"/>
  <c r="Q62" i="110" s="1"/>
  <c r="P61" i="110"/>
  <c r="Q61" i="110" s="1"/>
  <c r="P59" i="110"/>
  <c r="P58" i="110"/>
  <c r="Q58" i="110" s="1"/>
  <c r="P56" i="110"/>
  <c r="Q56" i="110" s="1"/>
  <c r="P53" i="110"/>
  <c r="Q53" i="110" s="1"/>
  <c r="P52" i="110"/>
  <c r="P51" i="110"/>
  <c r="P49" i="110"/>
  <c r="Q49" i="110" s="1"/>
  <c r="P48" i="110"/>
  <c r="Q48" i="110" s="1"/>
  <c r="P47" i="110"/>
  <c r="P46" i="110"/>
  <c r="P45" i="110"/>
  <c r="Q45" i="110" s="1"/>
  <c r="P44" i="110"/>
  <c r="Q44" i="110" s="1"/>
  <c r="P43" i="110"/>
  <c r="P42" i="110"/>
  <c r="P41" i="110"/>
  <c r="Q41" i="110" s="1"/>
  <c r="P40" i="110"/>
  <c r="Q40" i="110" s="1"/>
  <c r="P39" i="110"/>
  <c r="P38" i="110"/>
  <c r="P36" i="110"/>
  <c r="Q36" i="110" s="1"/>
  <c r="P74" i="110"/>
  <c r="Q74" i="110" s="1"/>
  <c r="P290" i="110"/>
  <c r="P289" i="110"/>
  <c r="P288" i="110"/>
  <c r="Q288" i="110" s="1"/>
  <c r="P287" i="110"/>
  <c r="Q287" i="110" s="1"/>
  <c r="P286" i="110"/>
  <c r="P285" i="110"/>
  <c r="P308" i="110"/>
  <c r="Q308" i="110" s="1"/>
  <c r="J308" i="110" s="1"/>
  <c r="P284" i="110"/>
  <c r="Q284" i="110" s="1"/>
  <c r="P283" i="110"/>
  <c r="P282" i="110"/>
  <c r="Q282" i="110" s="1"/>
  <c r="P281" i="110"/>
  <c r="Q281" i="110" s="1"/>
  <c r="P280" i="110"/>
  <c r="Q280" i="110" s="1"/>
  <c r="P279" i="110"/>
  <c r="P278" i="110"/>
  <c r="P277" i="110"/>
  <c r="Q277" i="110" s="1"/>
  <c r="P276" i="110"/>
  <c r="Q276" i="110" s="1"/>
  <c r="P275" i="110"/>
  <c r="P274" i="110"/>
  <c r="P273" i="110"/>
  <c r="Q273" i="110" s="1"/>
  <c r="P272" i="110"/>
  <c r="Q272" i="110" s="1"/>
  <c r="P271" i="110"/>
  <c r="P270" i="110"/>
  <c r="Q270" i="110" s="1"/>
  <c r="P269" i="110"/>
  <c r="Q269" i="110" s="1"/>
  <c r="P268" i="110"/>
  <c r="Q268" i="110" s="1"/>
  <c r="P267" i="110"/>
  <c r="P266" i="110"/>
  <c r="Q266" i="110" s="1"/>
  <c r="P265" i="110"/>
  <c r="Q265" i="110" s="1"/>
  <c r="P264" i="110"/>
  <c r="Q264" i="110" s="1"/>
  <c r="P263" i="110"/>
  <c r="P262" i="110"/>
  <c r="Q262" i="110" s="1"/>
  <c r="P261" i="110"/>
  <c r="Q261" i="110" s="1"/>
  <c r="P260" i="110"/>
  <c r="Q260" i="110" s="1"/>
  <c r="P259" i="110"/>
  <c r="P258" i="110"/>
  <c r="Q258" i="110" s="1"/>
  <c r="P257" i="110"/>
  <c r="P256" i="110"/>
  <c r="Q256" i="110" s="1"/>
  <c r="P255" i="110"/>
  <c r="Q255" i="110" s="1"/>
  <c r="P254" i="110"/>
  <c r="Q254" i="110" s="1"/>
  <c r="P253" i="110"/>
  <c r="Q253" i="110" s="1"/>
  <c r="P252" i="110"/>
  <c r="Q252" i="110" s="1"/>
  <c r="P251" i="110"/>
  <c r="P250" i="110"/>
  <c r="P249" i="110"/>
  <c r="Q249" i="110" s="1"/>
  <c r="P248" i="110"/>
  <c r="Q248" i="110" s="1"/>
  <c r="P247" i="110"/>
  <c r="Q247" i="110" s="1"/>
  <c r="P246" i="110"/>
  <c r="Q246" i="110" s="1"/>
  <c r="P245" i="110"/>
  <c r="Q245" i="110" s="1"/>
  <c r="P244" i="110"/>
  <c r="Q244" i="110" s="1"/>
  <c r="P243" i="110"/>
  <c r="P242" i="110"/>
  <c r="P241" i="110"/>
  <c r="Q241" i="110" s="1"/>
  <c r="P240" i="110"/>
  <c r="Q240" i="110" s="1"/>
  <c r="P239" i="110"/>
  <c r="P238" i="110"/>
  <c r="P237" i="110"/>
  <c r="Q237" i="110" s="1"/>
  <c r="P236" i="110"/>
  <c r="Q236" i="110" s="1"/>
  <c r="P235" i="110"/>
  <c r="P234" i="110"/>
  <c r="Q234" i="110" s="1"/>
  <c r="P233" i="110"/>
  <c r="Q233" i="110" s="1"/>
  <c r="P232" i="110"/>
  <c r="Q232" i="110" s="1"/>
  <c r="P231" i="110"/>
  <c r="P230" i="110"/>
  <c r="Q230" i="110" s="1"/>
  <c r="P229" i="110"/>
  <c r="Q229" i="110" s="1"/>
  <c r="P228" i="110"/>
  <c r="Q228" i="110" s="1"/>
  <c r="P227" i="110"/>
  <c r="P226" i="110"/>
  <c r="Q226" i="110" s="1"/>
  <c r="P225" i="110"/>
  <c r="Q225" i="110" s="1"/>
  <c r="P224" i="110"/>
  <c r="Q224" i="110" s="1"/>
  <c r="P223" i="110"/>
  <c r="Q223" i="110" s="1"/>
  <c r="P222" i="110"/>
  <c r="Q222" i="110" s="1"/>
  <c r="P221" i="110"/>
  <c r="P220" i="110"/>
  <c r="Q220" i="110" s="1"/>
  <c r="P219" i="110"/>
  <c r="P218" i="110"/>
  <c r="P217" i="110"/>
  <c r="Q217" i="110" s="1"/>
  <c r="P216" i="110"/>
  <c r="Q216" i="110" s="1"/>
  <c r="P215" i="110"/>
  <c r="P214" i="110"/>
  <c r="P213" i="110"/>
  <c r="P212" i="110"/>
  <c r="Q212" i="110" s="1"/>
  <c r="P211" i="110"/>
  <c r="P210" i="110"/>
  <c r="Q210" i="110" s="1"/>
  <c r="P209" i="110"/>
  <c r="Q209" i="110" s="1"/>
  <c r="P208" i="110"/>
  <c r="Q208" i="110" s="1"/>
  <c r="P207" i="110"/>
  <c r="Q207" i="110" s="1"/>
  <c r="P206" i="110"/>
  <c r="P205" i="110"/>
  <c r="P204" i="110"/>
  <c r="Q204" i="110" s="1"/>
  <c r="P203" i="110"/>
  <c r="P202" i="110"/>
  <c r="P201" i="110"/>
  <c r="Q201" i="110" s="1"/>
  <c r="P200" i="110"/>
  <c r="Q200" i="110" s="1"/>
  <c r="P199" i="110"/>
  <c r="P198" i="110"/>
  <c r="P197" i="110"/>
  <c r="Q197" i="110" s="1"/>
  <c r="P196" i="110"/>
  <c r="Q196" i="110" s="1"/>
  <c r="P195" i="110"/>
  <c r="P194" i="110"/>
  <c r="Q194" i="110" s="1"/>
  <c r="P193" i="110"/>
  <c r="Q193" i="110" s="1"/>
  <c r="P192" i="110"/>
  <c r="Q192" i="110" s="1"/>
  <c r="P191" i="110"/>
  <c r="P190" i="110"/>
  <c r="Q190" i="110" s="1"/>
  <c r="P189" i="110"/>
  <c r="Q189" i="110" s="1"/>
  <c r="P188" i="110"/>
  <c r="Q188" i="110" s="1"/>
  <c r="P187" i="110"/>
  <c r="P186" i="110"/>
  <c r="Q186" i="110" s="1"/>
  <c r="P185" i="110"/>
  <c r="P184" i="110"/>
  <c r="Q184" i="110" s="1"/>
  <c r="P183" i="110"/>
  <c r="P182" i="110"/>
  <c r="Q182" i="110" s="1"/>
  <c r="P181" i="110"/>
  <c r="Q181" i="110" s="1"/>
  <c r="P180" i="110"/>
  <c r="Q180" i="110" s="1"/>
  <c r="P179" i="110"/>
  <c r="P178" i="110"/>
  <c r="Q178" i="110" s="1"/>
  <c r="P177" i="110"/>
  <c r="P176" i="110"/>
  <c r="Q176" i="110" s="1"/>
  <c r="P175" i="110"/>
  <c r="Q175" i="110" s="1"/>
  <c r="P174" i="110"/>
  <c r="Q174" i="110" s="1"/>
  <c r="P173" i="110"/>
  <c r="Q173" i="110" s="1"/>
  <c r="P172" i="110"/>
  <c r="Q172" i="110" s="1"/>
  <c r="P171" i="110"/>
  <c r="P170" i="110"/>
  <c r="P169" i="110"/>
  <c r="P168" i="110"/>
  <c r="Q168" i="110" s="1"/>
  <c r="P167" i="110"/>
  <c r="P166" i="110"/>
  <c r="Q166" i="110" s="1"/>
  <c r="P165" i="110"/>
  <c r="Q165" i="110" s="1"/>
  <c r="P164" i="110"/>
  <c r="Q164" i="110" s="1"/>
  <c r="P163" i="110"/>
  <c r="P162" i="110"/>
  <c r="Q162" i="110" s="1"/>
  <c r="P161" i="110"/>
  <c r="P160" i="110"/>
  <c r="Q160" i="110" s="1"/>
  <c r="P159" i="110"/>
  <c r="P158" i="110"/>
  <c r="P157" i="110"/>
  <c r="Q157" i="110" s="1"/>
  <c r="P156" i="110"/>
  <c r="Q156" i="110" s="1"/>
  <c r="P155" i="110"/>
  <c r="P154" i="110"/>
  <c r="Q154" i="110" s="1"/>
  <c r="P153" i="110"/>
  <c r="P152" i="110"/>
  <c r="Q152" i="110" s="1"/>
  <c r="P151" i="110"/>
  <c r="P150" i="110"/>
  <c r="Q150" i="110" s="1"/>
  <c r="P149" i="110"/>
  <c r="P148" i="110"/>
  <c r="Q148" i="110" s="1"/>
  <c r="P147" i="110"/>
  <c r="P146" i="110"/>
  <c r="P145" i="110"/>
  <c r="Q145" i="110" s="1"/>
  <c r="P144" i="110"/>
  <c r="Q144" i="110" s="1"/>
  <c r="P143" i="110"/>
  <c r="P142" i="110"/>
  <c r="Q142" i="110" s="1"/>
  <c r="P141" i="110"/>
  <c r="Q141" i="110" s="1"/>
  <c r="P140" i="110"/>
  <c r="Q140" i="110" s="1"/>
  <c r="P139" i="110"/>
  <c r="P138" i="110"/>
  <c r="Q138" i="110" s="1"/>
  <c r="P137" i="110"/>
  <c r="Q137" i="110" s="1"/>
  <c r="P136" i="110"/>
  <c r="Q136" i="110" s="1"/>
  <c r="P135" i="110"/>
  <c r="P134" i="110"/>
  <c r="Q134" i="110" s="1"/>
  <c r="P133" i="110"/>
  <c r="P132" i="110"/>
  <c r="Q132" i="110" s="1"/>
  <c r="P131" i="110"/>
  <c r="Q131" i="110" s="1"/>
  <c r="P130" i="110"/>
  <c r="P129" i="110"/>
  <c r="P128" i="110"/>
  <c r="Q128" i="110" s="1"/>
  <c r="P127" i="110"/>
  <c r="P126" i="110"/>
  <c r="Q126" i="110" s="1"/>
  <c r="P125" i="110"/>
  <c r="Q125" i="110" s="1"/>
  <c r="P294" i="110"/>
  <c r="P124" i="110"/>
  <c r="P123" i="110"/>
  <c r="Q123" i="110" s="1"/>
  <c r="P122" i="110"/>
  <c r="Q122" i="110" s="1"/>
  <c r="P121" i="110"/>
  <c r="Q121" i="110" s="1"/>
  <c r="P120" i="110"/>
  <c r="P119" i="110"/>
  <c r="Q119" i="110" s="1"/>
  <c r="P118" i="110"/>
  <c r="Q118" i="110" s="1"/>
  <c r="P117" i="110"/>
  <c r="Q117" i="110" s="1"/>
  <c r="P116" i="110"/>
  <c r="P115" i="110"/>
  <c r="P114" i="110"/>
  <c r="Q114" i="110" s="1"/>
  <c r="P113" i="110"/>
  <c r="Q113" i="110" s="1"/>
  <c r="P112" i="110"/>
  <c r="Q112" i="110" s="1"/>
  <c r="P111" i="110"/>
  <c r="Q111" i="110" s="1"/>
  <c r="P110" i="110"/>
  <c r="Q110" i="110" s="1"/>
  <c r="P109" i="110"/>
  <c r="Q109" i="110" s="1"/>
  <c r="P108" i="110"/>
  <c r="P107" i="110"/>
  <c r="P106" i="110"/>
  <c r="Q106" i="110" s="1"/>
  <c r="P105" i="110"/>
  <c r="Q105" i="110" s="1"/>
  <c r="P104" i="110"/>
  <c r="P103" i="110"/>
  <c r="P102" i="110"/>
  <c r="Q102" i="110" s="1"/>
  <c r="P101" i="110"/>
  <c r="Q101" i="110" s="1"/>
  <c r="P100" i="110"/>
  <c r="P99" i="110"/>
  <c r="P98" i="110"/>
  <c r="Q98" i="110" s="1"/>
  <c r="P97" i="110"/>
  <c r="Q97" i="110" s="1"/>
  <c r="P96" i="110"/>
  <c r="P95" i="110"/>
  <c r="Q95" i="110" s="1"/>
  <c r="P94" i="110"/>
  <c r="Q94" i="110" s="1"/>
  <c r="P93" i="110"/>
  <c r="Q93" i="110" s="1"/>
  <c r="P91" i="110"/>
  <c r="P90" i="110"/>
  <c r="P89" i="110"/>
  <c r="Q89" i="110" s="1"/>
  <c r="P88" i="110"/>
  <c r="Q88" i="110" s="1"/>
  <c r="P87" i="110"/>
  <c r="Q87" i="110" s="1"/>
  <c r="P86" i="110"/>
  <c r="P85" i="110"/>
  <c r="Q85" i="110" s="1"/>
  <c r="P84" i="110"/>
  <c r="Q84" i="110" s="1"/>
  <c r="P83" i="110"/>
  <c r="P82" i="110"/>
  <c r="P77" i="110"/>
  <c r="Q77" i="110" s="1"/>
  <c r="P76" i="110"/>
  <c r="Q76" i="110" s="1"/>
  <c r="P75" i="110"/>
  <c r="P73" i="110"/>
  <c r="Q73" i="110" s="1"/>
  <c r="P71" i="110"/>
  <c r="P70" i="110"/>
  <c r="Q70" i="110" s="1"/>
  <c r="P69" i="110"/>
  <c r="P60" i="110"/>
  <c r="P57" i="110"/>
  <c r="P55" i="110"/>
  <c r="Q55" i="110" s="1"/>
  <c r="P54" i="110"/>
  <c r="P50" i="110"/>
  <c r="P37" i="110"/>
  <c r="Q37" i="110" s="1"/>
  <c r="P35" i="110"/>
  <c r="Q35" i="110" s="1"/>
  <c r="P34" i="110"/>
  <c r="P33" i="110"/>
  <c r="Q33" i="110" s="1"/>
  <c r="P32" i="110"/>
  <c r="Q32" i="110" s="1"/>
  <c r="P31" i="110"/>
  <c r="Q31" i="110" s="1"/>
  <c r="P30" i="110"/>
  <c r="Q30" i="110" s="1"/>
  <c r="P29" i="110"/>
  <c r="Q29" i="110" s="1"/>
  <c r="P28" i="110"/>
  <c r="Q28" i="110" s="1"/>
  <c r="P27" i="110"/>
  <c r="Q27" i="110" s="1"/>
  <c r="P26" i="110"/>
  <c r="P25" i="110"/>
  <c r="P24" i="110"/>
  <c r="Q24" i="110" s="1"/>
  <c r="P23" i="110"/>
  <c r="Q23" i="110" s="1"/>
  <c r="P22" i="110"/>
  <c r="P21" i="110"/>
  <c r="Q21" i="110" s="1"/>
  <c r="P20" i="110"/>
  <c r="Q20" i="110" s="1"/>
  <c r="P19" i="110"/>
  <c r="Q19" i="110" s="1"/>
  <c r="P18" i="110"/>
  <c r="P17" i="110"/>
  <c r="Q17" i="110" s="1"/>
  <c r="P16" i="110"/>
  <c r="Q16" i="110" s="1"/>
  <c r="P15" i="110"/>
  <c r="Q15" i="110" s="1"/>
  <c r="P14" i="110"/>
  <c r="P13" i="110"/>
  <c r="Q13" i="110" s="1"/>
  <c r="P12" i="110"/>
  <c r="Q12" i="110" s="1"/>
  <c r="P11" i="110"/>
  <c r="Q11" i="110" s="1"/>
  <c r="P10" i="110"/>
  <c r="Q10" i="110" s="1"/>
  <c r="AB859" i="108"/>
  <c r="AC859" i="108" s="1"/>
  <c r="AB857" i="108"/>
  <c r="AC857" i="108" s="1"/>
  <c r="AB856" i="108"/>
  <c r="AC856" i="108" s="1"/>
  <c r="AB855" i="108"/>
  <c r="AC855" i="108" s="1"/>
  <c r="AB854" i="108"/>
  <c r="AC854" i="108" s="1"/>
  <c r="AB853" i="108"/>
  <c r="AC853" i="108" s="1"/>
  <c r="AB852" i="108"/>
  <c r="AC852" i="108" s="1"/>
  <c r="AB851" i="108"/>
  <c r="AC851" i="108" s="1"/>
  <c r="AB850" i="108"/>
  <c r="AC850" i="108" s="1"/>
  <c r="AB849" i="108"/>
  <c r="AC849" i="108" s="1"/>
  <c r="AB848" i="108"/>
  <c r="AC848" i="108" s="1"/>
  <c r="AB847" i="108"/>
  <c r="AC847" i="108" s="1"/>
  <c r="AB846" i="108"/>
  <c r="AC846" i="108" s="1"/>
  <c r="AB845" i="108"/>
  <c r="AC845" i="108" s="1"/>
  <c r="AB844" i="108"/>
  <c r="AC844" i="108"/>
  <c r="AB843" i="108"/>
  <c r="AC843" i="108" s="1"/>
  <c r="AB842" i="108"/>
  <c r="AC842" i="108" s="1"/>
  <c r="AB841" i="108"/>
  <c r="AC841" i="108" s="1"/>
  <c r="AB840" i="108"/>
  <c r="AC840" i="108" s="1"/>
  <c r="AB839" i="108"/>
  <c r="AC839" i="108" s="1"/>
  <c r="AB838" i="108"/>
  <c r="AC838" i="108" s="1"/>
  <c r="AB837" i="108"/>
  <c r="AC837" i="108" s="1"/>
  <c r="AB836" i="108"/>
  <c r="AC836" i="108"/>
  <c r="AB835" i="108"/>
  <c r="AC835" i="108" s="1"/>
  <c r="AB834" i="108"/>
  <c r="AC834" i="108" s="1"/>
  <c r="AB833" i="108"/>
  <c r="AC833" i="108" s="1"/>
  <c r="AB832" i="108"/>
  <c r="AC832" i="108" s="1"/>
  <c r="AB831" i="108"/>
  <c r="AC831" i="108" s="1"/>
  <c r="AB830" i="108"/>
  <c r="AC830" i="108" s="1"/>
  <c r="AB829" i="108"/>
  <c r="AC829" i="108" s="1"/>
  <c r="AB828" i="108"/>
  <c r="AC828" i="108" s="1"/>
  <c r="AB827" i="108"/>
  <c r="AC827" i="108" s="1"/>
  <c r="AB826" i="108"/>
  <c r="AC826" i="108" s="1"/>
  <c r="AB825" i="108"/>
  <c r="AC825" i="108" s="1"/>
  <c r="AB824" i="108"/>
  <c r="AC824" i="108" s="1"/>
  <c r="AB823" i="108"/>
  <c r="AC823" i="108" s="1"/>
  <c r="AB822" i="108"/>
  <c r="AC822" i="108" s="1"/>
  <c r="AB821" i="108"/>
  <c r="AC821" i="108" s="1"/>
  <c r="AB820" i="108"/>
  <c r="AC820" i="108" s="1"/>
  <c r="AB819" i="108"/>
  <c r="AC819" i="108" s="1"/>
  <c r="AB818" i="108"/>
  <c r="AC818" i="108" s="1"/>
  <c r="AB817" i="108"/>
  <c r="AC817" i="108" s="1"/>
  <c r="AB816" i="108"/>
  <c r="AC816" i="108" s="1"/>
  <c r="AB815" i="108"/>
  <c r="AC815" i="108" s="1"/>
  <c r="AB814" i="108"/>
  <c r="AC814" i="108" s="1"/>
  <c r="AB813" i="108"/>
  <c r="AC813" i="108" s="1"/>
  <c r="AB812" i="108"/>
  <c r="AC812" i="108"/>
  <c r="AB14" i="108"/>
  <c r="AC14" i="108" s="1"/>
  <c r="AB811" i="108"/>
  <c r="AC811" i="108" s="1"/>
  <c r="AB810" i="108"/>
  <c r="AC810" i="108" s="1"/>
  <c r="AB809" i="108"/>
  <c r="AC809" i="108" s="1"/>
  <c r="AB808" i="108"/>
  <c r="AC808" i="108" s="1"/>
  <c r="AB807" i="108"/>
  <c r="AC807" i="108" s="1"/>
  <c r="AB806" i="108"/>
  <c r="AC806" i="108" s="1"/>
  <c r="AB805" i="108"/>
  <c r="AC805" i="108"/>
  <c r="AB804" i="108"/>
  <c r="AC804" i="108" s="1"/>
  <c r="AB803" i="108"/>
  <c r="AC803" i="108" s="1"/>
  <c r="AB802" i="108"/>
  <c r="AC802" i="108" s="1"/>
  <c r="AB801" i="108"/>
  <c r="AC801" i="108" s="1"/>
  <c r="AB800" i="108"/>
  <c r="AC800" i="108" s="1"/>
  <c r="AB799" i="108"/>
  <c r="AC799" i="108" s="1"/>
  <c r="AB798" i="108"/>
  <c r="AC798" i="108" s="1"/>
  <c r="AB797" i="108"/>
  <c r="AC797" i="108" s="1"/>
  <c r="AB796" i="108"/>
  <c r="AC796" i="108" s="1"/>
  <c r="AB795" i="108"/>
  <c r="AC795" i="108" s="1"/>
  <c r="AB794" i="108"/>
  <c r="AC794" i="108" s="1"/>
  <c r="AB793" i="108"/>
  <c r="AC793" i="108" s="1"/>
  <c r="AB792" i="108"/>
  <c r="AC792" i="108" s="1"/>
  <c r="AB791" i="108"/>
  <c r="AC791" i="108" s="1"/>
  <c r="AB790" i="108"/>
  <c r="AC790" i="108" s="1"/>
  <c r="AB789" i="108"/>
  <c r="AC789" i="108" s="1"/>
  <c r="AB788" i="108"/>
  <c r="AC788" i="108" s="1"/>
  <c r="AB787" i="108"/>
  <c r="AC787" i="108" s="1"/>
  <c r="AB786" i="108"/>
  <c r="AC786" i="108" s="1"/>
  <c r="AB785" i="108"/>
  <c r="AC785" i="108" s="1"/>
  <c r="AB784" i="108"/>
  <c r="AC784" i="108" s="1"/>
  <c r="AB783" i="108"/>
  <c r="AC783" i="108" s="1"/>
  <c r="AB782" i="108"/>
  <c r="AC782" i="108" s="1"/>
  <c r="AB781" i="108"/>
  <c r="AC781" i="108"/>
  <c r="AB780" i="108"/>
  <c r="AC780" i="108" s="1"/>
  <c r="AB779" i="108"/>
  <c r="AC779" i="108" s="1"/>
  <c r="AB778" i="108"/>
  <c r="AC778" i="108" s="1"/>
  <c r="AB777" i="108"/>
  <c r="AC777" i="108" s="1"/>
  <c r="AB776" i="108"/>
  <c r="AC776" i="108" s="1"/>
  <c r="AB775" i="108"/>
  <c r="AC775" i="108" s="1"/>
  <c r="AB774" i="108"/>
  <c r="AC774" i="108" s="1"/>
  <c r="AB773" i="108"/>
  <c r="AC773" i="108"/>
  <c r="AB772" i="108"/>
  <c r="AC772" i="108" s="1"/>
  <c r="AB771" i="108"/>
  <c r="AC771" i="108" s="1"/>
  <c r="AB770" i="108"/>
  <c r="AC770" i="108" s="1"/>
  <c r="AB769" i="108"/>
  <c r="AC769" i="108" s="1"/>
  <c r="AB768" i="108"/>
  <c r="AC768" i="108" s="1"/>
  <c r="AB767" i="108"/>
  <c r="AC767" i="108" s="1"/>
  <c r="AB766" i="108"/>
  <c r="AC766" i="108" s="1"/>
  <c r="AB765" i="108"/>
  <c r="AC765" i="108" s="1"/>
  <c r="AB764" i="108"/>
  <c r="AC764" i="108" s="1"/>
  <c r="AB763" i="108"/>
  <c r="AC763" i="108" s="1"/>
  <c r="AB762" i="108"/>
  <c r="AC762" i="108" s="1"/>
  <c r="AB761" i="108"/>
  <c r="AC761" i="108" s="1"/>
  <c r="AB760" i="108"/>
  <c r="AC760" i="108" s="1"/>
  <c r="AB759" i="108"/>
  <c r="AC759" i="108" s="1"/>
  <c r="AB758" i="108"/>
  <c r="AC758" i="108" s="1"/>
  <c r="AB757" i="108"/>
  <c r="AC757" i="108" s="1"/>
  <c r="AB756" i="108"/>
  <c r="AC756" i="108" s="1"/>
  <c r="AB755" i="108"/>
  <c r="AC755" i="108" s="1"/>
  <c r="AB754" i="108"/>
  <c r="AC754" i="108" s="1"/>
  <c r="AB753" i="108"/>
  <c r="AC753" i="108" s="1"/>
  <c r="AB752" i="108"/>
  <c r="AC752" i="108" s="1"/>
  <c r="AB751" i="108"/>
  <c r="AC751" i="108" s="1"/>
  <c r="AB750" i="108"/>
  <c r="AC750" i="108" s="1"/>
  <c r="AB749" i="108"/>
  <c r="AC749" i="108"/>
  <c r="AB748" i="108"/>
  <c r="AC748" i="108" s="1"/>
  <c r="AB747" i="108"/>
  <c r="AC747" i="108" s="1"/>
  <c r="AB746" i="108"/>
  <c r="AC746" i="108" s="1"/>
  <c r="AB745" i="108"/>
  <c r="AC745" i="108" s="1"/>
  <c r="AB744" i="108"/>
  <c r="AC744" i="108" s="1"/>
  <c r="AB743" i="108"/>
  <c r="AC743" i="108" s="1"/>
  <c r="AB742" i="108"/>
  <c r="AC742" i="108" s="1"/>
  <c r="AB741" i="108"/>
  <c r="AC741" i="108"/>
  <c r="AB740" i="108"/>
  <c r="AC740" i="108" s="1"/>
  <c r="AB739" i="108"/>
  <c r="AC739" i="108" s="1"/>
  <c r="AB738" i="108"/>
  <c r="AC738" i="108" s="1"/>
  <c r="AB737" i="108"/>
  <c r="AC737" i="108" s="1"/>
  <c r="AB736" i="108"/>
  <c r="AC736" i="108" s="1"/>
  <c r="AB735" i="108"/>
  <c r="AC735" i="108" s="1"/>
  <c r="AB734" i="108"/>
  <c r="AC734" i="108" s="1"/>
  <c r="AB733" i="108"/>
  <c r="AC733" i="108" s="1"/>
  <c r="AB732" i="108"/>
  <c r="AC732" i="108" s="1"/>
  <c r="AB731" i="108"/>
  <c r="AC731" i="108" s="1"/>
  <c r="AB730" i="108"/>
  <c r="AC730" i="108" s="1"/>
  <c r="AB729" i="108"/>
  <c r="AC729" i="108" s="1"/>
  <c r="AB728" i="108"/>
  <c r="AC728" i="108" s="1"/>
  <c r="AB727" i="108"/>
  <c r="AC727" i="108" s="1"/>
  <c r="AB726" i="108"/>
  <c r="AC726" i="108" s="1"/>
  <c r="AB725" i="108"/>
  <c r="AC725" i="108" s="1"/>
  <c r="AB724" i="108"/>
  <c r="AC724" i="108" s="1"/>
  <c r="AB723" i="108"/>
  <c r="AC723" i="108" s="1"/>
  <c r="AB722" i="108"/>
  <c r="AC722" i="108" s="1"/>
  <c r="AB721" i="108"/>
  <c r="AC721" i="108"/>
  <c r="AB720" i="108"/>
  <c r="AC720" i="108" s="1"/>
  <c r="AB719" i="108"/>
  <c r="AC719" i="108"/>
  <c r="AB718" i="108"/>
  <c r="AC718" i="108" s="1"/>
  <c r="AB717" i="108"/>
  <c r="AC717" i="108" s="1"/>
  <c r="AB716" i="108"/>
  <c r="AC716" i="108" s="1"/>
  <c r="AB715" i="108"/>
  <c r="AC715" i="108" s="1"/>
  <c r="AB714" i="108"/>
  <c r="AC714" i="108" s="1"/>
  <c r="AB713" i="108"/>
  <c r="AC713" i="108"/>
  <c r="AB712" i="108"/>
  <c r="AC712" i="108" s="1"/>
  <c r="AB711" i="108"/>
  <c r="AC711" i="108"/>
  <c r="AB710" i="108"/>
  <c r="AC710" i="108" s="1"/>
  <c r="AB709" i="108"/>
  <c r="AC709" i="108" s="1"/>
  <c r="AB708" i="108"/>
  <c r="AC708" i="108" s="1"/>
  <c r="AB707" i="108"/>
  <c r="AC707" i="108" s="1"/>
  <c r="AB706" i="108"/>
  <c r="AC706" i="108" s="1"/>
  <c r="AB705" i="108"/>
  <c r="AC705" i="108"/>
  <c r="AB704" i="108"/>
  <c r="AC704" i="108" s="1"/>
  <c r="AB703" i="108"/>
  <c r="AC703" i="108" s="1"/>
  <c r="AB702" i="108"/>
  <c r="AC702" i="108" s="1"/>
  <c r="AB701" i="108"/>
  <c r="AC701" i="108"/>
  <c r="AB700" i="108"/>
  <c r="AC700" i="108" s="1"/>
  <c r="AB699" i="108"/>
  <c r="AC699" i="108" s="1"/>
  <c r="AB698" i="108"/>
  <c r="AC698" i="108" s="1"/>
  <c r="AB697" i="108"/>
  <c r="AC697" i="108"/>
  <c r="AB696" i="108"/>
  <c r="AC696" i="108" s="1"/>
  <c r="AB695" i="108"/>
  <c r="AC695" i="108" s="1"/>
  <c r="AB694" i="108"/>
  <c r="AC694" i="108" s="1"/>
  <c r="AB693" i="108"/>
  <c r="AC693" i="108" s="1"/>
  <c r="AB692" i="108"/>
  <c r="AC692" i="108" s="1"/>
  <c r="AB691" i="108"/>
  <c r="AC691" i="108" s="1"/>
  <c r="AB690" i="108"/>
  <c r="AC690" i="108" s="1"/>
  <c r="AB689" i="108"/>
  <c r="AC689" i="108"/>
  <c r="AB688" i="108"/>
  <c r="AC688" i="108" s="1"/>
  <c r="AB687" i="108"/>
  <c r="AC687" i="108" s="1"/>
  <c r="AB686" i="108"/>
  <c r="AC686" i="108" s="1"/>
  <c r="AB685" i="108"/>
  <c r="AC685" i="108"/>
  <c r="AB684" i="108"/>
  <c r="AC684" i="108" s="1"/>
  <c r="AB683" i="108"/>
  <c r="AC683" i="108" s="1"/>
  <c r="AB682" i="108"/>
  <c r="AC682" i="108" s="1"/>
  <c r="AB681" i="108"/>
  <c r="AC681" i="108"/>
  <c r="AB680" i="108"/>
  <c r="AC680" i="108" s="1"/>
  <c r="AB679" i="108"/>
  <c r="AC679" i="108" s="1"/>
  <c r="AB678" i="108"/>
  <c r="AC678" i="108" s="1"/>
  <c r="AB677" i="108"/>
  <c r="AC677" i="108" s="1"/>
  <c r="AB676" i="108"/>
  <c r="AC676" i="108" s="1"/>
  <c r="AB675" i="108"/>
  <c r="AC675" i="108" s="1"/>
  <c r="AB674" i="108"/>
  <c r="AC674" i="108" s="1"/>
  <c r="AB673" i="108"/>
  <c r="AC673" i="108"/>
  <c r="AB672" i="108"/>
  <c r="AC672" i="108" s="1"/>
  <c r="AB671" i="108"/>
  <c r="AC671" i="108" s="1"/>
  <c r="AB670" i="108"/>
  <c r="AC670" i="108" s="1"/>
  <c r="AB669" i="108"/>
  <c r="AC669" i="108"/>
  <c r="AB668" i="108"/>
  <c r="AC668" i="108" s="1"/>
  <c r="AB667" i="108"/>
  <c r="AC667" i="108" s="1"/>
  <c r="AB666" i="108"/>
  <c r="AC666" i="108" s="1"/>
  <c r="AB665" i="108"/>
  <c r="AC665" i="108" s="1"/>
  <c r="AB664" i="108"/>
  <c r="AC664" i="108" s="1"/>
  <c r="AB663" i="108"/>
  <c r="AC663" i="108" s="1"/>
  <c r="AB662" i="108"/>
  <c r="AC662" i="108" s="1"/>
  <c r="AB661" i="108"/>
  <c r="AC661" i="108" s="1"/>
  <c r="AB660" i="108"/>
  <c r="AC660" i="108" s="1"/>
  <c r="AB659" i="108"/>
  <c r="AC659" i="108" s="1"/>
  <c r="AB658" i="108"/>
  <c r="AC658" i="108" s="1"/>
  <c r="AB657" i="108"/>
  <c r="AC657" i="108"/>
  <c r="AB656" i="108"/>
  <c r="AC656" i="108" s="1"/>
  <c r="AB655" i="108"/>
  <c r="AC655" i="108" s="1"/>
  <c r="AB654" i="108"/>
  <c r="AC654" i="108" s="1"/>
  <c r="AB653" i="108"/>
  <c r="AC653" i="108"/>
  <c r="AB652" i="108"/>
  <c r="AC652" i="108" s="1"/>
  <c r="AB651" i="108"/>
  <c r="AC651" i="108" s="1"/>
  <c r="AB650" i="108"/>
  <c r="AC650" i="108" s="1"/>
  <c r="AB649" i="108"/>
  <c r="AC649" i="108" s="1"/>
  <c r="AB648" i="108"/>
  <c r="AC648" i="108" s="1"/>
  <c r="AB647" i="108"/>
  <c r="AC647" i="108" s="1"/>
  <c r="AB646" i="108"/>
  <c r="AC646" i="108" s="1"/>
  <c r="AB645" i="108"/>
  <c r="AC645" i="108" s="1"/>
  <c r="AB644" i="108"/>
  <c r="AC644" i="108" s="1"/>
  <c r="AB643" i="108"/>
  <c r="AC643" i="108" s="1"/>
  <c r="AB642" i="108"/>
  <c r="AC642" i="108" s="1"/>
  <c r="AB641" i="108"/>
  <c r="AC641" i="108"/>
  <c r="AB640" i="108"/>
  <c r="AC640" i="108" s="1"/>
  <c r="AB639" i="108"/>
  <c r="AC639" i="108" s="1"/>
  <c r="AB638" i="108"/>
  <c r="AC638" i="108" s="1"/>
  <c r="AB637" i="108"/>
  <c r="AC637" i="108"/>
  <c r="AB636" i="108"/>
  <c r="AC636" i="108" s="1"/>
  <c r="AB635" i="108"/>
  <c r="AC635" i="108" s="1"/>
  <c r="AB634" i="108"/>
  <c r="AC634" i="108" s="1"/>
  <c r="AB633" i="108"/>
  <c r="AC633" i="108"/>
  <c r="AB632" i="108"/>
  <c r="AC632" i="108" s="1"/>
  <c r="AB631" i="108"/>
  <c r="AC631" i="108" s="1"/>
  <c r="AB630" i="108"/>
  <c r="AC630" i="108" s="1"/>
  <c r="AB629" i="108"/>
  <c r="AC629" i="108" s="1"/>
  <c r="AB628" i="108"/>
  <c r="AC628" i="108" s="1"/>
  <c r="AB627" i="108"/>
  <c r="AC627" i="108" s="1"/>
  <c r="AB626" i="108"/>
  <c r="AC626" i="108" s="1"/>
  <c r="AB625" i="108"/>
  <c r="AC625" i="108"/>
  <c r="AB624" i="108"/>
  <c r="AC624" i="108" s="1"/>
  <c r="AB623" i="108"/>
  <c r="AC623" i="108" s="1"/>
  <c r="AB622" i="108"/>
  <c r="AC622" i="108" s="1"/>
  <c r="AB621" i="108"/>
  <c r="AC621" i="108"/>
  <c r="AB620" i="108"/>
  <c r="AC620" i="108" s="1"/>
  <c r="AB619" i="108"/>
  <c r="AC619" i="108" s="1"/>
  <c r="AB618" i="108"/>
  <c r="AC618" i="108" s="1"/>
  <c r="AB617" i="108"/>
  <c r="AC617" i="108"/>
  <c r="AB616" i="108"/>
  <c r="AC616" i="108" s="1"/>
  <c r="AB615" i="108"/>
  <c r="AC615" i="108" s="1"/>
  <c r="AB614" i="108"/>
  <c r="AC614" i="108" s="1"/>
  <c r="AB613" i="108"/>
  <c r="AC613" i="108" s="1"/>
  <c r="AB612" i="108"/>
  <c r="AC612" i="108" s="1"/>
  <c r="AB611" i="108"/>
  <c r="AC611" i="108" s="1"/>
  <c r="AB610" i="108"/>
  <c r="AC610" i="108" s="1"/>
  <c r="AB609" i="108"/>
  <c r="AC609" i="108"/>
  <c r="AB608" i="108"/>
  <c r="AC608" i="108" s="1"/>
  <c r="AB607" i="108"/>
  <c r="AC607" i="108" s="1"/>
  <c r="AB606" i="108"/>
  <c r="AC606" i="108" s="1"/>
  <c r="AB605" i="108"/>
  <c r="AC605" i="108"/>
  <c r="AB604" i="108"/>
  <c r="AC604" i="108" s="1"/>
  <c r="AB603" i="108"/>
  <c r="AC603" i="108" s="1"/>
  <c r="AB602" i="108"/>
  <c r="AC602" i="108" s="1"/>
  <c r="AB601" i="108"/>
  <c r="AC601" i="108" s="1"/>
  <c r="AB600" i="108"/>
  <c r="AC600" i="108" s="1"/>
  <c r="AB599" i="108"/>
  <c r="AC599" i="108" s="1"/>
  <c r="AB598" i="108"/>
  <c r="AC598" i="108" s="1"/>
  <c r="AB597" i="108"/>
  <c r="AC597" i="108" s="1"/>
  <c r="AB596" i="108"/>
  <c r="AC596" i="108" s="1"/>
  <c r="AB595" i="108"/>
  <c r="AC595" i="108" s="1"/>
  <c r="AB594" i="108"/>
  <c r="AC594" i="108" s="1"/>
  <c r="AB593" i="108"/>
  <c r="AC593" i="108" s="1"/>
  <c r="AB592" i="108"/>
  <c r="AC592" i="108" s="1"/>
  <c r="AB591" i="108"/>
  <c r="AC591" i="108" s="1"/>
  <c r="AB590" i="108"/>
  <c r="AC590" i="108" s="1"/>
  <c r="AB589" i="108"/>
  <c r="AC589" i="108" s="1"/>
  <c r="AB588" i="108"/>
  <c r="AC588" i="108" s="1"/>
  <c r="AB587" i="108"/>
  <c r="AC587" i="108" s="1"/>
  <c r="AB586" i="108"/>
  <c r="AC586" i="108" s="1"/>
  <c r="AB585" i="108"/>
  <c r="AC585" i="108" s="1"/>
  <c r="AB584" i="108"/>
  <c r="AC584" i="108" s="1"/>
  <c r="AB583" i="108"/>
  <c r="AC583" i="108" s="1"/>
  <c r="AB582" i="108"/>
  <c r="AC582" i="108" s="1"/>
  <c r="AB581" i="108"/>
  <c r="AC581" i="108" s="1"/>
  <c r="AB580" i="108"/>
  <c r="AC580" i="108" s="1"/>
  <c r="AB579" i="108"/>
  <c r="AC579" i="108" s="1"/>
  <c r="AB578" i="108"/>
  <c r="AC578" i="108" s="1"/>
  <c r="AB577" i="108"/>
  <c r="AC577" i="108" s="1"/>
  <c r="AB576" i="108"/>
  <c r="AC576" i="108" s="1"/>
  <c r="AB575" i="108"/>
  <c r="AC575" i="108" s="1"/>
  <c r="AB574" i="108"/>
  <c r="AC574" i="108" s="1"/>
  <c r="AB573" i="108"/>
  <c r="AC573" i="108" s="1"/>
  <c r="AB572" i="108"/>
  <c r="AC572" i="108" s="1"/>
  <c r="AB571" i="108"/>
  <c r="AC571" i="108" s="1"/>
  <c r="AB570" i="108"/>
  <c r="AC570" i="108" s="1"/>
  <c r="AB569" i="108"/>
  <c r="AC569" i="108" s="1"/>
  <c r="AB568" i="108"/>
  <c r="AC568" i="108" s="1"/>
  <c r="AB567" i="108"/>
  <c r="AC567" i="108" s="1"/>
  <c r="AB566" i="108"/>
  <c r="AC566" i="108" s="1"/>
  <c r="AB565" i="108"/>
  <c r="AC565" i="108" s="1"/>
  <c r="AB564" i="108"/>
  <c r="AC564" i="108" s="1"/>
  <c r="AB563" i="108"/>
  <c r="AC563" i="108" s="1"/>
  <c r="AB562" i="108"/>
  <c r="AC562" i="108" s="1"/>
  <c r="AB561" i="108"/>
  <c r="AC561" i="108" s="1"/>
  <c r="AB560" i="108"/>
  <c r="AC560" i="108" s="1"/>
  <c r="AB559" i="108"/>
  <c r="AC559" i="108" s="1"/>
  <c r="AB558" i="108"/>
  <c r="AC558" i="108" s="1"/>
  <c r="AB557" i="108"/>
  <c r="AC557" i="108" s="1"/>
  <c r="AB556" i="108"/>
  <c r="AC556" i="108" s="1"/>
  <c r="AB555" i="108"/>
  <c r="AC555" i="108" s="1"/>
  <c r="AB554" i="108"/>
  <c r="AC554" i="108" s="1"/>
  <c r="AB553" i="108"/>
  <c r="AC553" i="108" s="1"/>
  <c r="AB552" i="108"/>
  <c r="AC552" i="108" s="1"/>
  <c r="AB551" i="108"/>
  <c r="AC551" i="108" s="1"/>
  <c r="AB550" i="108"/>
  <c r="AC550" i="108" s="1"/>
  <c r="AB549" i="108"/>
  <c r="AC549" i="108" s="1"/>
  <c r="AB548" i="108"/>
  <c r="AC548" i="108" s="1"/>
  <c r="AB547" i="108"/>
  <c r="AC547" i="108" s="1"/>
  <c r="AB546" i="108"/>
  <c r="AC546" i="108" s="1"/>
  <c r="AB545" i="108"/>
  <c r="AC545" i="108" s="1"/>
  <c r="AB544" i="108"/>
  <c r="AC544" i="108" s="1"/>
  <c r="AB543" i="108"/>
  <c r="AC543" i="108" s="1"/>
  <c r="AB542" i="108"/>
  <c r="AC542" i="108" s="1"/>
  <c r="AB541" i="108"/>
  <c r="AC541" i="108" s="1"/>
  <c r="AB540" i="108"/>
  <c r="AC540" i="108" s="1"/>
  <c r="AB539" i="108"/>
  <c r="AC539" i="108" s="1"/>
  <c r="AB538" i="108"/>
  <c r="AC538" i="108" s="1"/>
  <c r="AB537" i="108"/>
  <c r="AC537" i="108" s="1"/>
  <c r="AB536" i="108"/>
  <c r="AC536" i="108" s="1"/>
  <c r="AB535" i="108"/>
  <c r="AC535" i="108" s="1"/>
  <c r="AB534" i="108"/>
  <c r="AC534" i="108" s="1"/>
  <c r="AB533" i="108"/>
  <c r="AC533" i="108" s="1"/>
  <c r="AB532" i="108"/>
  <c r="AC532" i="108" s="1"/>
  <c r="AB531" i="108"/>
  <c r="AC531" i="108" s="1"/>
  <c r="AB530" i="108"/>
  <c r="AC530" i="108" s="1"/>
  <c r="AB529" i="108"/>
  <c r="AC529" i="108" s="1"/>
  <c r="AB528" i="108"/>
  <c r="AC528" i="108" s="1"/>
  <c r="AB527" i="108"/>
  <c r="AC527" i="108" s="1"/>
  <c r="AB526" i="108"/>
  <c r="AC526" i="108" s="1"/>
  <c r="AB525" i="108"/>
  <c r="AC525" i="108" s="1"/>
  <c r="AB524" i="108"/>
  <c r="AC524" i="108" s="1"/>
  <c r="AB523" i="108"/>
  <c r="AC523" i="108" s="1"/>
  <c r="AB522" i="108"/>
  <c r="AC522" i="108" s="1"/>
  <c r="AB521" i="108"/>
  <c r="AC521" i="108" s="1"/>
  <c r="AB520" i="108"/>
  <c r="AC520" i="108" s="1"/>
  <c r="AB519" i="108"/>
  <c r="AC519" i="108" s="1"/>
  <c r="AB518" i="108"/>
  <c r="AC518" i="108" s="1"/>
  <c r="AB517" i="108"/>
  <c r="AC517" i="108" s="1"/>
  <c r="AB516" i="108"/>
  <c r="AC516" i="108" s="1"/>
  <c r="AB515" i="108"/>
  <c r="AC515" i="108" s="1"/>
  <c r="AB514" i="108"/>
  <c r="AC514" i="108" s="1"/>
  <c r="AB513" i="108"/>
  <c r="AC513" i="108" s="1"/>
  <c r="AB512" i="108"/>
  <c r="AC512" i="108" s="1"/>
  <c r="AB511" i="108"/>
  <c r="AC511" i="108" s="1"/>
  <c r="AB510" i="108"/>
  <c r="AC510" i="108" s="1"/>
  <c r="AB509" i="108"/>
  <c r="AC509" i="108" s="1"/>
  <c r="AB508" i="108"/>
  <c r="AC508" i="108" s="1"/>
  <c r="AB507" i="108"/>
  <c r="AC507" i="108" s="1"/>
  <c r="AB506" i="108"/>
  <c r="AC506" i="108" s="1"/>
  <c r="AB505" i="108"/>
  <c r="AC505" i="108" s="1"/>
  <c r="AB504" i="108"/>
  <c r="AC504" i="108" s="1"/>
  <c r="AB503" i="108"/>
  <c r="AC503" i="108" s="1"/>
  <c r="AB502" i="108"/>
  <c r="AC502" i="108" s="1"/>
  <c r="AB501" i="108"/>
  <c r="AC501" i="108" s="1"/>
  <c r="AB500" i="108"/>
  <c r="AC500" i="108" s="1"/>
  <c r="AB499" i="108"/>
  <c r="AC499" i="108" s="1"/>
  <c r="AB498" i="108"/>
  <c r="AC498" i="108" s="1"/>
  <c r="AB497" i="108"/>
  <c r="AC497" i="108" s="1"/>
  <c r="AB496" i="108"/>
  <c r="AC496" i="108" s="1"/>
  <c r="AB495" i="108"/>
  <c r="AC495" i="108" s="1"/>
  <c r="AB494" i="108"/>
  <c r="AC494" i="108" s="1"/>
  <c r="AB493" i="108"/>
  <c r="AC493" i="108" s="1"/>
  <c r="AB492" i="108"/>
  <c r="AC492" i="108" s="1"/>
  <c r="AB491" i="108"/>
  <c r="AC491" i="108" s="1"/>
  <c r="AB490" i="108"/>
  <c r="AC490" i="108" s="1"/>
  <c r="AB489" i="108"/>
  <c r="AC489" i="108" s="1"/>
  <c r="AB488" i="108"/>
  <c r="AC488" i="108" s="1"/>
  <c r="AB487" i="108"/>
  <c r="AC487" i="108" s="1"/>
  <c r="AB486" i="108"/>
  <c r="AC486" i="108" s="1"/>
  <c r="AB485" i="108"/>
  <c r="AC485" i="108" s="1"/>
  <c r="AB484" i="108"/>
  <c r="AC484" i="108" s="1"/>
  <c r="AB483" i="108"/>
  <c r="AC483" i="108" s="1"/>
  <c r="AB482" i="108"/>
  <c r="AC482" i="108" s="1"/>
  <c r="AB481" i="108"/>
  <c r="AC481" i="108" s="1"/>
  <c r="AB480" i="108"/>
  <c r="AC480" i="108" s="1"/>
  <c r="AB479" i="108"/>
  <c r="AC479" i="108" s="1"/>
  <c r="AB478" i="108"/>
  <c r="AC478" i="108" s="1"/>
  <c r="AB477" i="108"/>
  <c r="AC477" i="108" s="1"/>
  <c r="AB476" i="108"/>
  <c r="AC476" i="108" s="1"/>
  <c r="AB475" i="108"/>
  <c r="AC475" i="108" s="1"/>
  <c r="AB474" i="108"/>
  <c r="AC474" i="108" s="1"/>
  <c r="AB473" i="108"/>
  <c r="AC473" i="108" s="1"/>
  <c r="AB472" i="108"/>
  <c r="AC472" i="108" s="1"/>
  <c r="AB471" i="108"/>
  <c r="AC471" i="108" s="1"/>
  <c r="AB470" i="108"/>
  <c r="AC470" i="108" s="1"/>
  <c r="AB469" i="108"/>
  <c r="AC469" i="108" s="1"/>
  <c r="AB468" i="108"/>
  <c r="AC468" i="108" s="1"/>
  <c r="AB467" i="108"/>
  <c r="AC467" i="108" s="1"/>
  <c r="AB466" i="108"/>
  <c r="AC466" i="108" s="1"/>
  <c r="AB465" i="108"/>
  <c r="AC465" i="108" s="1"/>
  <c r="AB464" i="108"/>
  <c r="AC464" i="108" s="1"/>
  <c r="AB463" i="108"/>
  <c r="AC463" i="108" s="1"/>
  <c r="AB462" i="108"/>
  <c r="AC462" i="108" s="1"/>
  <c r="AB461" i="108"/>
  <c r="AC461" i="108" s="1"/>
  <c r="AB460" i="108"/>
  <c r="AC460" i="108" s="1"/>
  <c r="AB459" i="108"/>
  <c r="AC459" i="108" s="1"/>
  <c r="AB458" i="108"/>
  <c r="AC458" i="108" s="1"/>
  <c r="AB457" i="108"/>
  <c r="AC457" i="108" s="1"/>
  <c r="AB456" i="108"/>
  <c r="AC456" i="108" s="1"/>
  <c r="AB455" i="108"/>
  <c r="AC455" i="108" s="1"/>
  <c r="AB454" i="108"/>
  <c r="AC454" i="108" s="1"/>
  <c r="AB453" i="108"/>
  <c r="AC453" i="108" s="1"/>
  <c r="AB452" i="108"/>
  <c r="AC452" i="108" s="1"/>
  <c r="AB451" i="108"/>
  <c r="AC451" i="108" s="1"/>
  <c r="AB450" i="108"/>
  <c r="AC450" i="108" s="1"/>
  <c r="AB449" i="108"/>
  <c r="AC449" i="108" s="1"/>
  <c r="AB448" i="108"/>
  <c r="AC448" i="108" s="1"/>
  <c r="AB447" i="108"/>
  <c r="AC447" i="108" s="1"/>
  <c r="AB446" i="108"/>
  <c r="AC446" i="108" s="1"/>
  <c r="AB445" i="108"/>
  <c r="AC445" i="108" s="1"/>
  <c r="AB444" i="108"/>
  <c r="AC444" i="108" s="1"/>
  <c r="AB443" i="108"/>
  <c r="AC443" i="108" s="1"/>
  <c r="AB442" i="108"/>
  <c r="AC442" i="108" s="1"/>
  <c r="AB441" i="108"/>
  <c r="AC441" i="108" s="1"/>
  <c r="AB440" i="108"/>
  <c r="AC440" i="108" s="1"/>
  <c r="AB439" i="108"/>
  <c r="AC439" i="108" s="1"/>
  <c r="AB438" i="108"/>
  <c r="AC438" i="108" s="1"/>
  <c r="AB437" i="108"/>
  <c r="AC437" i="108" s="1"/>
  <c r="AB436" i="108"/>
  <c r="AC436" i="108" s="1"/>
  <c r="AB435" i="108"/>
  <c r="AC435" i="108" s="1"/>
  <c r="AB434" i="108"/>
  <c r="AC434" i="108" s="1"/>
  <c r="AB433" i="108"/>
  <c r="AC433" i="108" s="1"/>
  <c r="AB432" i="108"/>
  <c r="AC432" i="108" s="1"/>
  <c r="AB431" i="108"/>
  <c r="AC431" i="108" s="1"/>
  <c r="AB430" i="108"/>
  <c r="AC430" i="108" s="1"/>
  <c r="AB429" i="108"/>
  <c r="AC429" i="108" s="1"/>
  <c r="AB428" i="108"/>
  <c r="AC428" i="108" s="1"/>
  <c r="AB427" i="108"/>
  <c r="AC427" i="108" s="1"/>
  <c r="AB426" i="108"/>
  <c r="AC426" i="108" s="1"/>
  <c r="AB425" i="108"/>
  <c r="AC425" i="108" s="1"/>
  <c r="AB424" i="108"/>
  <c r="AC424" i="108" s="1"/>
  <c r="AB423" i="108"/>
  <c r="AC423" i="108" s="1"/>
  <c r="AB422" i="108"/>
  <c r="AC422" i="108" s="1"/>
  <c r="AB421" i="108"/>
  <c r="AC421" i="108" s="1"/>
  <c r="AB420" i="108"/>
  <c r="AC420" i="108" s="1"/>
  <c r="AB419" i="108"/>
  <c r="AC419" i="108" s="1"/>
  <c r="AB418" i="108"/>
  <c r="AC418" i="108" s="1"/>
  <c r="AB417" i="108"/>
  <c r="AC417" i="108" s="1"/>
  <c r="AB416" i="108"/>
  <c r="AC416" i="108" s="1"/>
  <c r="AB415" i="108"/>
  <c r="AC415" i="108" s="1"/>
  <c r="AB414" i="108"/>
  <c r="AC414" i="108" s="1"/>
  <c r="AB413" i="108"/>
  <c r="AC413" i="108" s="1"/>
  <c r="AB412" i="108"/>
  <c r="AC412" i="108" s="1"/>
  <c r="AB411" i="108"/>
  <c r="AC411" i="108" s="1"/>
  <c r="AB410" i="108"/>
  <c r="AC410" i="108" s="1"/>
  <c r="AB409" i="108"/>
  <c r="AC409" i="108" s="1"/>
  <c r="AB408" i="108"/>
  <c r="AC408" i="108" s="1"/>
  <c r="AB407" i="108"/>
  <c r="AC407" i="108" s="1"/>
  <c r="AB406" i="108"/>
  <c r="AC406" i="108" s="1"/>
  <c r="AB405" i="108"/>
  <c r="AC405" i="108" s="1"/>
  <c r="AB404" i="108"/>
  <c r="AC404" i="108" s="1"/>
  <c r="AB403" i="108"/>
  <c r="AC403" i="108" s="1"/>
  <c r="AB402" i="108"/>
  <c r="AC402" i="108" s="1"/>
  <c r="AB401" i="108"/>
  <c r="AC401" i="108" s="1"/>
  <c r="AB400" i="108"/>
  <c r="AC400" i="108" s="1"/>
  <c r="AB399" i="108"/>
  <c r="AC399" i="108" s="1"/>
  <c r="AB398" i="108"/>
  <c r="AC398" i="108" s="1"/>
  <c r="AB397" i="108"/>
  <c r="AC397" i="108" s="1"/>
  <c r="AB396" i="108"/>
  <c r="AC396" i="108" s="1"/>
  <c r="AB395" i="108"/>
  <c r="AC395" i="108" s="1"/>
  <c r="AB394" i="108"/>
  <c r="AC394" i="108" s="1"/>
  <c r="AB393" i="108"/>
  <c r="AC393" i="108" s="1"/>
  <c r="AB392" i="108"/>
  <c r="AC392" i="108" s="1"/>
  <c r="AB391" i="108"/>
  <c r="AC391" i="108" s="1"/>
  <c r="AB390" i="108"/>
  <c r="AC390" i="108" s="1"/>
  <c r="AB389" i="108"/>
  <c r="AC389" i="108" s="1"/>
  <c r="AB388" i="108"/>
  <c r="AC388" i="108" s="1"/>
  <c r="AB387" i="108"/>
  <c r="AC387" i="108" s="1"/>
  <c r="AB386" i="108"/>
  <c r="AC386" i="108" s="1"/>
  <c r="AB385" i="108"/>
  <c r="AC385" i="108" s="1"/>
  <c r="AB384" i="108"/>
  <c r="AC384" i="108" s="1"/>
  <c r="AB383" i="108"/>
  <c r="AC383" i="108" s="1"/>
  <c r="AB382" i="108"/>
  <c r="AC382" i="108" s="1"/>
  <c r="AB381" i="108"/>
  <c r="AC381" i="108" s="1"/>
  <c r="AB380" i="108"/>
  <c r="AC380" i="108" s="1"/>
  <c r="AB379" i="108"/>
  <c r="AC379" i="108" s="1"/>
  <c r="AB378" i="108"/>
  <c r="AC378" i="108" s="1"/>
  <c r="AB377" i="108"/>
  <c r="AC377" i="108" s="1"/>
  <c r="AB376" i="108"/>
  <c r="AC376" i="108" s="1"/>
  <c r="AB375" i="108"/>
  <c r="AC375" i="108" s="1"/>
  <c r="AB374" i="108"/>
  <c r="AC374" i="108" s="1"/>
  <c r="AB373" i="108"/>
  <c r="AC373" i="108" s="1"/>
  <c r="AB372" i="108"/>
  <c r="AC372" i="108" s="1"/>
  <c r="AB371" i="108"/>
  <c r="AC371" i="108" s="1"/>
  <c r="AB370" i="108"/>
  <c r="AC370" i="108" s="1"/>
  <c r="AB369" i="108"/>
  <c r="AC369" i="108" s="1"/>
  <c r="AB368" i="108"/>
  <c r="AC368" i="108" s="1"/>
  <c r="AB367" i="108"/>
  <c r="AC367" i="108" s="1"/>
  <c r="AB366" i="108"/>
  <c r="AC366" i="108" s="1"/>
  <c r="AB365" i="108"/>
  <c r="AC365" i="108" s="1"/>
  <c r="AB364" i="108"/>
  <c r="AC364" i="108" s="1"/>
  <c r="AB363" i="108"/>
  <c r="AC363" i="108" s="1"/>
  <c r="AB362" i="108"/>
  <c r="AC362" i="108" s="1"/>
  <c r="AB361" i="108"/>
  <c r="AC361" i="108" s="1"/>
  <c r="AB360" i="108"/>
  <c r="AC360" i="108" s="1"/>
  <c r="AB359" i="108"/>
  <c r="AC359" i="108" s="1"/>
  <c r="AB358" i="108"/>
  <c r="AC358" i="108" s="1"/>
  <c r="AB357" i="108"/>
  <c r="AC357" i="108" s="1"/>
  <c r="AB356" i="108"/>
  <c r="AC356" i="108" s="1"/>
  <c r="AB355" i="108"/>
  <c r="AC355" i="108" s="1"/>
  <c r="AB354" i="108"/>
  <c r="AC354" i="108" s="1"/>
  <c r="AB353" i="108"/>
  <c r="AC353" i="108" s="1"/>
  <c r="AB352" i="108"/>
  <c r="AC352" i="108" s="1"/>
  <c r="AB351" i="108"/>
  <c r="AC351" i="108" s="1"/>
  <c r="AB10" i="108"/>
  <c r="AB350" i="108"/>
  <c r="AC350" i="108" s="1"/>
  <c r="AB349" i="108"/>
  <c r="AC349" i="108" s="1"/>
  <c r="AB348" i="108"/>
  <c r="AC348" i="108" s="1"/>
  <c r="AB347" i="108"/>
  <c r="AC347" i="108" s="1"/>
  <c r="AB346" i="108"/>
  <c r="AC346" i="108"/>
  <c r="AB345" i="108"/>
  <c r="AC345" i="108" s="1"/>
  <c r="AB344" i="108"/>
  <c r="AC344" i="108" s="1"/>
  <c r="AB343" i="108"/>
  <c r="AC343" i="108" s="1"/>
  <c r="AB342" i="108"/>
  <c r="AC342" i="108" s="1"/>
  <c r="AB341" i="108"/>
  <c r="AC341" i="108" s="1"/>
  <c r="AB340" i="108"/>
  <c r="AC340" i="108" s="1"/>
  <c r="AB339" i="108"/>
  <c r="AC339" i="108" s="1"/>
  <c r="AB338" i="108"/>
  <c r="AC338" i="108"/>
  <c r="AB337" i="108"/>
  <c r="AC337" i="108" s="1"/>
  <c r="AB336" i="108"/>
  <c r="AC336" i="108" s="1"/>
  <c r="AB335" i="108"/>
  <c r="AC335" i="108" s="1"/>
  <c r="AB334" i="108"/>
  <c r="AC334" i="108" s="1"/>
  <c r="AB333" i="108"/>
  <c r="AC333" i="108" s="1"/>
  <c r="AB332" i="108"/>
  <c r="AC332" i="108" s="1"/>
  <c r="AB331" i="108"/>
  <c r="AC331" i="108" s="1"/>
  <c r="AB330" i="108"/>
  <c r="AC330" i="108"/>
  <c r="AB329" i="108"/>
  <c r="AC329" i="108" s="1"/>
  <c r="AB328" i="108"/>
  <c r="AC328" i="108" s="1"/>
  <c r="AB327" i="108"/>
  <c r="AC327" i="108" s="1"/>
  <c r="AB326" i="108"/>
  <c r="AC326" i="108" s="1"/>
  <c r="AB325" i="108"/>
  <c r="AC325" i="108" s="1"/>
  <c r="AB324" i="108"/>
  <c r="AC324" i="108" s="1"/>
  <c r="AB323" i="108"/>
  <c r="AC323" i="108" s="1"/>
  <c r="AB322" i="108"/>
  <c r="AC322" i="108"/>
  <c r="AB321" i="108"/>
  <c r="AC321" i="108" s="1"/>
  <c r="AB320" i="108"/>
  <c r="AC320" i="108" s="1"/>
  <c r="AB319" i="108"/>
  <c r="AC319" i="108" s="1"/>
  <c r="AB318" i="108"/>
  <c r="AC318" i="108" s="1"/>
  <c r="AB317" i="108"/>
  <c r="AC317" i="108" s="1"/>
  <c r="AB316" i="108"/>
  <c r="AC316" i="108" s="1"/>
  <c r="AB315" i="108"/>
  <c r="AC315" i="108" s="1"/>
  <c r="AB314" i="108"/>
  <c r="AC314" i="108"/>
  <c r="AB313" i="108"/>
  <c r="AC313" i="108" s="1"/>
  <c r="AB9" i="108"/>
  <c r="AC9" i="108" s="1"/>
  <c r="M9" i="108" s="1"/>
  <c r="AB312" i="108"/>
  <c r="AC312" i="108" s="1"/>
  <c r="AB311" i="108"/>
  <c r="AC311" i="108" s="1"/>
  <c r="AB310" i="108"/>
  <c r="AC310" i="108" s="1"/>
  <c r="AB309" i="108"/>
  <c r="AC309" i="108" s="1"/>
  <c r="AB308" i="108"/>
  <c r="AC308" i="108" s="1"/>
  <c r="AB307" i="108"/>
  <c r="AC307" i="108" s="1"/>
  <c r="AB306" i="108"/>
  <c r="AC306" i="108" s="1"/>
  <c r="AB305" i="108"/>
  <c r="AC305" i="108" s="1"/>
  <c r="AB304" i="108"/>
  <c r="AC304" i="108" s="1"/>
  <c r="AB303" i="108"/>
  <c r="AC303" i="108" s="1"/>
  <c r="AB302" i="108"/>
  <c r="AC302" i="108" s="1"/>
  <c r="AB301" i="108"/>
  <c r="AC301" i="108" s="1"/>
  <c r="AB300" i="108"/>
  <c r="AC300" i="108" s="1"/>
  <c r="AB299" i="108"/>
  <c r="AC299" i="108" s="1"/>
  <c r="AB298" i="108"/>
  <c r="AC298" i="108" s="1"/>
  <c r="AB297" i="108"/>
  <c r="AC297" i="108" s="1"/>
  <c r="AB296" i="108"/>
  <c r="AC296" i="108" s="1"/>
  <c r="AB295" i="108"/>
  <c r="AC295" i="108" s="1"/>
  <c r="AB294" i="108"/>
  <c r="AC294" i="108" s="1"/>
  <c r="AB293" i="108"/>
  <c r="AC293" i="108" s="1"/>
  <c r="AB292" i="108"/>
  <c r="AC292" i="108" s="1"/>
  <c r="AB291" i="108"/>
  <c r="AC291" i="108" s="1"/>
  <c r="AB290" i="108"/>
  <c r="AC290" i="108" s="1"/>
  <c r="AB289" i="108"/>
  <c r="AC289" i="108" s="1"/>
  <c r="AB288" i="108"/>
  <c r="AC288" i="108" s="1"/>
  <c r="AB287" i="108"/>
  <c r="AC287" i="108" s="1"/>
  <c r="AB286" i="108"/>
  <c r="AC286" i="108" s="1"/>
  <c r="AB285" i="108"/>
  <c r="AC285" i="108" s="1"/>
  <c r="AB284" i="108"/>
  <c r="AC284" i="108" s="1"/>
  <c r="AB283" i="108"/>
  <c r="AC283" i="108" s="1"/>
  <c r="AB282" i="108"/>
  <c r="AC282" i="108" s="1"/>
  <c r="AB281" i="108"/>
  <c r="AC281" i="108" s="1"/>
  <c r="AB280" i="108"/>
  <c r="AC280" i="108" s="1"/>
  <c r="AB279" i="108"/>
  <c r="AC279" i="108" s="1"/>
  <c r="AB278" i="108"/>
  <c r="AC278" i="108" s="1"/>
  <c r="AB277" i="108"/>
  <c r="AC277" i="108" s="1"/>
  <c r="AB276" i="108"/>
  <c r="AC276" i="108" s="1"/>
  <c r="AB275" i="108"/>
  <c r="AC275" i="108" s="1"/>
  <c r="AB274" i="108"/>
  <c r="AC274" i="108" s="1"/>
  <c r="AB273" i="108"/>
  <c r="AC273" i="108" s="1"/>
  <c r="AB272" i="108"/>
  <c r="AC272" i="108" s="1"/>
  <c r="AB271" i="108"/>
  <c r="AC271" i="108" s="1"/>
  <c r="AB270" i="108"/>
  <c r="AC270" i="108" s="1"/>
  <c r="AB269" i="108"/>
  <c r="AC269" i="108" s="1"/>
  <c r="AB268" i="108"/>
  <c r="AC268" i="108" s="1"/>
  <c r="AB267" i="108"/>
  <c r="AC267" i="108" s="1"/>
  <c r="AB266" i="108"/>
  <c r="AC266" i="108" s="1"/>
  <c r="AB265" i="108"/>
  <c r="AC265" i="108" s="1"/>
  <c r="AB264" i="108"/>
  <c r="AC264" i="108" s="1"/>
  <c r="AB263" i="108"/>
  <c r="AC263" i="108" s="1"/>
  <c r="AB262" i="108"/>
  <c r="AC262" i="108" s="1"/>
  <c r="AB261" i="108"/>
  <c r="AC261" i="108" s="1"/>
  <c r="AB260" i="108"/>
  <c r="AC260" i="108" s="1"/>
  <c r="AB259" i="108"/>
  <c r="AC259" i="108" s="1"/>
  <c r="AB258" i="108"/>
  <c r="AC258" i="108" s="1"/>
  <c r="AB257" i="108"/>
  <c r="AC257" i="108" s="1"/>
  <c r="AB256" i="108"/>
  <c r="AC256" i="108" s="1"/>
  <c r="AB255" i="108"/>
  <c r="AC255" i="108" s="1"/>
  <c r="AB254" i="108"/>
  <c r="AC254" i="108" s="1"/>
  <c r="AB253" i="108"/>
  <c r="AC253" i="108" s="1"/>
  <c r="AB252" i="108"/>
  <c r="AC252" i="108" s="1"/>
  <c r="AB251" i="108"/>
  <c r="AC251" i="108" s="1"/>
  <c r="AB250" i="108"/>
  <c r="AC250" i="108" s="1"/>
  <c r="AB249" i="108"/>
  <c r="AC249" i="108" s="1"/>
  <c r="AB248" i="108"/>
  <c r="AC248" i="108" s="1"/>
  <c r="AB247" i="108"/>
  <c r="AC247" i="108" s="1"/>
  <c r="AB246" i="108"/>
  <c r="AC246" i="108" s="1"/>
  <c r="AB245" i="108"/>
  <c r="AC245" i="108"/>
  <c r="AB244" i="108"/>
  <c r="AC244" i="108" s="1"/>
  <c r="AB243" i="108"/>
  <c r="AC243" i="108" s="1"/>
  <c r="AB242" i="108"/>
  <c r="AC242" i="108" s="1"/>
  <c r="AB241" i="108"/>
  <c r="AC241" i="108" s="1"/>
  <c r="AB240" i="108"/>
  <c r="AC240" i="108" s="1"/>
  <c r="AB239" i="108"/>
  <c r="AC239" i="108"/>
  <c r="AB238" i="108"/>
  <c r="AC238" i="108" s="1"/>
  <c r="AB237" i="108"/>
  <c r="AC237" i="108" s="1"/>
  <c r="AB236" i="108"/>
  <c r="AC236" i="108" s="1"/>
  <c r="AB235" i="108"/>
  <c r="AC235" i="108" s="1"/>
  <c r="AB234" i="108"/>
  <c r="AC234" i="108" s="1"/>
  <c r="AB233" i="108"/>
  <c r="AC233" i="108"/>
  <c r="AB232" i="108"/>
  <c r="AC232" i="108" s="1"/>
  <c r="AB231" i="108"/>
  <c r="AC231" i="108"/>
  <c r="AB230" i="108"/>
  <c r="AC230" i="108" s="1"/>
  <c r="AB229" i="108"/>
  <c r="AC229" i="108" s="1"/>
  <c r="AB228" i="108"/>
  <c r="AC228" i="108" s="1"/>
  <c r="AB227" i="108"/>
  <c r="AC227" i="108" s="1"/>
  <c r="AB226" i="108"/>
  <c r="AC226" i="108"/>
  <c r="AB225" i="108"/>
  <c r="AC225" i="108" s="1"/>
  <c r="AB224" i="108"/>
  <c r="AC224" i="108" s="1"/>
  <c r="AB223" i="108"/>
  <c r="AC223" i="108" s="1"/>
  <c r="AB222" i="108"/>
  <c r="AC222" i="108" s="1"/>
  <c r="AB221" i="108"/>
  <c r="AC221" i="108" s="1"/>
  <c r="AB220" i="108"/>
  <c r="AC220" i="108" s="1"/>
  <c r="AB219" i="108"/>
  <c r="AC219" i="108" s="1"/>
  <c r="AB218" i="108"/>
  <c r="AC218" i="108" s="1"/>
  <c r="AB217" i="108"/>
  <c r="AC217" i="108" s="1"/>
  <c r="AB216" i="108"/>
  <c r="AC216" i="108" s="1"/>
  <c r="AB215" i="108"/>
  <c r="AC215" i="108" s="1"/>
  <c r="AB214" i="108"/>
  <c r="AC214" i="108" s="1"/>
  <c r="AB213" i="108"/>
  <c r="AC213" i="108" s="1"/>
  <c r="AB212" i="108"/>
  <c r="AC212" i="108" s="1"/>
  <c r="AB211" i="108"/>
  <c r="AC211" i="108" s="1"/>
  <c r="AB210" i="108"/>
  <c r="AC210" i="108" s="1"/>
  <c r="AB209" i="108"/>
  <c r="AC209" i="108" s="1"/>
  <c r="AB208" i="108"/>
  <c r="AC208" i="108" s="1"/>
  <c r="AB207" i="108"/>
  <c r="AC207" i="108" s="1"/>
  <c r="AB206" i="108"/>
  <c r="AC206" i="108" s="1"/>
  <c r="AB205" i="108"/>
  <c r="AC205" i="108" s="1"/>
  <c r="AB204" i="108"/>
  <c r="AC204" i="108" s="1"/>
  <c r="AB203" i="108"/>
  <c r="AC203" i="108" s="1"/>
  <c r="AB202" i="108"/>
  <c r="AC202" i="108" s="1"/>
  <c r="AB201" i="108"/>
  <c r="AC201" i="108" s="1"/>
  <c r="AB200" i="108"/>
  <c r="AC200" i="108" s="1"/>
  <c r="AB199" i="108"/>
  <c r="AC199" i="108" s="1"/>
  <c r="AB198" i="108"/>
  <c r="AC198" i="108" s="1"/>
  <c r="AB197" i="108"/>
  <c r="AC197" i="108" s="1"/>
  <c r="AB196" i="108"/>
  <c r="AC196" i="108" s="1"/>
  <c r="AB195" i="108"/>
  <c r="AC195" i="108" s="1"/>
  <c r="AB194" i="108"/>
  <c r="AC194" i="108" s="1"/>
  <c r="AB193" i="108"/>
  <c r="AC193" i="108" s="1"/>
  <c r="AB192" i="108"/>
  <c r="AC192" i="108" s="1"/>
  <c r="AB191" i="108"/>
  <c r="AC191" i="108" s="1"/>
  <c r="AB190" i="108"/>
  <c r="AC190" i="108" s="1"/>
  <c r="AB189" i="108"/>
  <c r="AC189" i="108" s="1"/>
  <c r="AB188" i="108"/>
  <c r="AC188" i="108" s="1"/>
  <c r="AB187" i="108"/>
  <c r="AC187" i="108" s="1"/>
  <c r="AB186" i="108"/>
  <c r="AC186" i="108" s="1"/>
  <c r="AB185" i="108"/>
  <c r="AC185" i="108" s="1"/>
  <c r="AB184" i="108"/>
  <c r="AC184" i="108" s="1"/>
  <c r="AB183" i="108"/>
  <c r="AC183" i="108" s="1"/>
  <c r="AB182" i="108"/>
  <c r="AC182" i="108" s="1"/>
  <c r="AB181" i="108"/>
  <c r="AC181" i="108" s="1"/>
  <c r="AB180" i="108"/>
  <c r="AC180" i="108" s="1"/>
  <c r="AB179" i="108"/>
  <c r="AC179" i="108" s="1"/>
  <c r="AB178" i="108"/>
  <c r="AC178" i="108" s="1"/>
  <c r="AB177" i="108"/>
  <c r="AC177" i="108" s="1"/>
  <c r="AB176" i="108"/>
  <c r="AC176" i="108" s="1"/>
  <c r="AB175" i="108"/>
  <c r="AC175" i="108" s="1"/>
  <c r="AB174" i="108"/>
  <c r="AC174" i="108" s="1"/>
  <c r="AB173" i="108"/>
  <c r="AC173" i="108" s="1"/>
  <c r="AB172" i="108"/>
  <c r="AC172" i="108" s="1"/>
  <c r="AB171" i="108"/>
  <c r="AC171" i="108" s="1"/>
  <c r="AB170" i="108"/>
  <c r="AC170" i="108" s="1"/>
  <c r="AB169" i="108"/>
  <c r="AC169" i="108" s="1"/>
  <c r="AB168" i="108"/>
  <c r="AC168" i="108" s="1"/>
  <c r="AB167" i="108"/>
  <c r="AC167" i="108" s="1"/>
  <c r="AB166" i="108"/>
  <c r="AC166" i="108" s="1"/>
  <c r="AB165" i="108"/>
  <c r="AC165" i="108" s="1"/>
  <c r="AB164" i="108"/>
  <c r="AC164" i="108" s="1"/>
  <c r="AB163" i="108"/>
  <c r="AC163" i="108" s="1"/>
  <c r="AB162" i="108"/>
  <c r="AC162" i="108" s="1"/>
  <c r="AB161" i="108"/>
  <c r="AC161" i="108" s="1"/>
  <c r="AB160" i="108"/>
  <c r="AC160" i="108" s="1"/>
  <c r="AB159" i="108"/>
  <c r="AC159" i="108" s="1"/>
  <c r="AB158" i="108"/>
  <c r="AC158" i="108" s="1"/>
  <c r="AB157" i="108"/>
  <c r="AC157" i="108" s="1"/>
  <c r="AB156" i="108"/>
  <c r="AC156" i="108" s="1"/>
  <c r="AB155" i="108"/>
  <c r="AC155" i="108" s="1"/>
  <c r="AB154" i="108"/>
  <c r="AC154" i="108" s="1"/>
  <c r="AB153" i="108"/>
  <c r="AC153" i="108" s="1"/>
  <c r="AB152" i="108"/>
  <c r="AC152" i="108" s="1"/>
  <c r="AB151" i="108"/>
  <c r="AC151" i="108" s="1"/>
  <c r="AB150" i="108"/>
  <c r="AC150" i="108" s="1"/>
  <c r="AB149" i="108"/>
  <c r="AC149" i="108" s="1"/>
  <c r="AB148" i="108"/>
  <c r="AC148" i="108" s="1"/>
  <c r="AB147" i="108"/>
  <c r="AC147" i="108" s="1"/>
  <c r="AB146" i="108"/>
  <c r="AC146" i="108" s="1"/>
  <c r="AB145" i="108"/>
  <c r="AC145" i="108" s="1"/>
  <c r="AB144" i="108"/>
  <c r="AC144" i="108" s="1"/>
  <c r="AB143" i="108"/>
  <c r="AC143" i="108" s="1"/>
  <c r="AB142" i="108"/>
  <c r="AC142" i="108" s="1"/>
  <c r="AB141" i="108"/>
  <c r="AC141" i="108" s="1"/>
  <c r="AB140" i="108"/>
  <c r="AC140" i="108" s="1"/>
  <c r="AB139" i="108"/>
  <c r="AC139" i="108" s="1"/>
  <c r="AB138" i="108"/>
  <c r="AC138" i="108" s="1"/>
  <c r="AB137" i="108"/>
  <c r="AC137" i="108" s="1"/>
  <c r="AB136" i="108"/>
  <c r="AC136" i="108" s="1"/>
  <c r="AB135" i="108"/>
  <c r="AC135" i="108" s="1"/>
  <c r="AB134" i="108"/>
  <c r="AC134" i="108" s="1"/>
  <c r="AB133" i="108"/>
  <c r="AC133" i="108" s="1"/>
  <c r="AB132" i="108"/>
  <c r="AC132" i="108" s="1"/>
  <c r="AB131" i="108"/>
  <c r="AC131" i="108" s="1"/>
  <c r="AB130" i="108"/>
  <c r="AC130" i="108" s="1"/>
  <c r="AB129" i="108"/>
  <c r="AC129" i="108" s="1"/>
  <c r="AB128" i="108"/>
  <c r="AC128" i="108" s="1"/>
  <c r="AB127" i="108"/>
  <c r="AC127" i="108" s="1"/>
  <c r="AB126" i="108"/>
  <c r="AC126" i="108" s="1"/>
  <c r="AB125" i="108"/>
  <c r="AC125" i="108" s="1"/>
  <c r="AB124" i="108"/>
  <c r="AC124" i="108" s="1"/>
  <c r="AB123" i="108"/>
  <c r="AC123" i="108" s="1"/>
  <c r="AB122" i="108"/>
  <c r="AC122" i="108" s="1"/>
  <c r="AB121" i="108"/>
  <c r="AC121" i="108" s="1"/>
  <c r="AB120" i="108"/>
  <c r="AC120" i="108" s="1"/>
  <c r="AB119" i="108"/>
  <c r="AC119" i="108" s="1"/>
  <c r="AB118" i="108"/>
  <c r="AC118" i="108" s="1"/>
  <c r="AB117" i="108"/>
  <c r="AC117" i="108" s="1"/>
  <c r="AB116" i="108"/>
  <c r="AC116" i="108" s="1"/>
  <c r="AB115" i="108"/>
  <c r="AC115" i="108" s="1"/>
  <c r="AB114" i="108"/>
  <c r="AC114" i="108" s="1"/>
  <c r="AB113" i="108"/>
  <c r="AC113" i="108" s="1"/>
  <c r="AB112" i="108"/>
  <c r="AC112" i="108" s="1"/>
  <c r="AB111" i="108"/>
  <c r="AC111" i="108" s="1"/>
  <c r="AB110" i="108"/>
  <c r="AC110" i="108" s="1"/>
  <c r="AB109" i="108"/>
  <c r="AC109" i="108" s="1"/>
  <c r="AB108" i="108"/>
  <c r="AC108" i="108" s="1"/>
  <c r="AB107" i="108"/>
  <c r="AC107" i="108" s="1"/>
  <c r="AB106" i="108"/>
  <c r="AC106" i="108" s="1"/>
  <c r="AB105" i="108"/>
  <c r="AC105" i="108" s="1"/>
  <c r="AB104" i="108"/>
  <c r="AC104" i="108" s="1"/>
  <c r="AB103" i="108"/>
  <c r="AC103" i="108" s="1"/>
  <c r="AB102" i="108"/>
  <c r="AC102" i="108" s="1"/>
  <c r="AB101" i="108"/>
  <c r="AC101" i="108" s="1"/>
  <c r="AB100" i="108"/>
  <c r="AC100" i="108" s="1"/>
  <c r="AB99" i="108"/>
  <c r="AC99" i="108" s="1"/>
  <c r="AB98" i="108"/>
  <c r="AC98" i="108" s="1"/>
  <c r="AB97" i="108"/>
  <c r="AC97" i="108" s="1"/>
  <c r="AB96" i="108"/>
  <c r="AC96" i="108" s="1"/>
  <c r="AB95" i="108"/>
  <c r="AC95" i="108" s="1"/>
  <c r="AB94" i="108"/>
  <c r="AC94" i="108" s="1"/>
  <c r="AB93" i="108"/>
  <c r="AC93" i="108" s="1"/>
  <c r="AB92" i="108"/>
  <c r="AC92" i="108" s="1"/>
  <c r="AB91" i="108"/>
  <c r="AC91" i="108" s="1"/>
  <c r="AB90" i="108"/>
  <c r="AC90" i="108" s="1"/>
  <c r="AB89" i="108"/>
  <c r="AC89" i="108" s="1"/>
  <c r="AB88" i="108"/>
  <c r="AC88" i="108" s="1"/>
  <c r="AB87" i="108"/>
  <c r="AC87" i="108" s="1"/>
  <c r="AB86" i="108"/>
  <c r="AC86" i="108" s="1"/>
  <c r="AB85" i="108"/>
  <c r="AC85" i="108" s="1"/>
  <c r="AB84" i="108"/>
  <c r="AC84" i="108" s="1"/>
  <c r="AB83" i="108"/>
  <c r="AC83" i="108" s="1"/>
  <c r="AB82" i="108"/>
  <c r="AC82" i="108" s="1"/>
  <c r="AB81" i="108"/>
  <c r="AC81" i="108" s="1"/>
  <c r="AB80" i="108"/>
  <c r="AC80" i="108" s="1"/>
  <c r="AB79" i="108"/>
  <c r="AC79" i="108" s="1"/>
  <c r="AB78" i="108"/>
  <c r="AC78" i="108" s="1"/>
  <c r="AB77" i="108"/>
  <c r="AC77" i="108" s="1"/>
  <c r="AB76" i="108"/>
  <c r="AC76" i="108" s="1"/>
  <c r="AB75" i="108"/>
  <c r="AC75" i="108" s="1"/>
  <c r="AB74" i="108"/>
  <c r="AC74" i="108" s="1"/>
  <c r="AB73" i="108"/>
  <c r="AC73" i="108" s="1"/>
  <c r="AB72" i="108"/>
  <c r="AC72" i="108" s="1"/>
  <c r="AB71" i="108"/>
  <c r="AC71" i="108" s="1"/>
  <c r="AB70" i="108"/>
  <c r="AC70" i="108" s="1"/>
  <c r="AB69" i="108"/>
  <c r="AC69" i="108" s="1"/>
  <c r="AB68" i="108"/>
  <c r="AC68" i="108" s="1"/>
  <c r="AB67" i="108"/>
  <c r="AC67" i="108" s="1"/>
  <c r="AB66" i="108"/>
  <c r="AC66" i="108" s="1"/>
  <c r="AB65" i="108"/>
  <c r="AC65" i="108" s="1"/>
  <c r="AB64" i="108"/>
  <c r="AC64" i="108" s="1"/>
  <c r="AB63" i="108"/>
  <c r="AC63" i="108" s="1"/>
  <c r="AB62" i="108"/>
  <c r="AC62" i="108" s="1"/>
  <c r="AB61" i="108"/>
  <c r="AC61" i="108" s="1"/>
  <c r="AB60" i="108"/>
  <c r="AC60" i="108" s="1"/>
  <c r="AB59" i="108"/>
  <c r="AC59" i="108" s="1"/>
  <c r="AB58" i="108"/>
  <c r="AC58" i="108" s="1"/>
  <c r="AB57" i="108"/>
  <c r="AC57" i="108" s="1"/>
  <c r="AB56" i="108"/>
  <c r="AC56" i="108" s="1"/>
  <c r="AB55" i="108"/>
  <c r="AC55" i="108" s="1"/>
  <c r="AB54" i="108"/>
  <c r="AC54" i="108" s="1"/>
  <c r="AB53" i="108"/>
  <c r="AC53" i="108" s="1"/>
  <c r="AB52" i="108"/>
  <c r="AC52" i="108" s="1"/>
  <c r="AB51" i="108"/>
  <c r="AC51" i="108" s="1"/>
  <c r="AB50" i="108"/>
  <c r="AC50" i="108" s="1"/>
  <c r="AB49" i="108"/>
  <c r="AC49" i="108" s="1"/>
  <c r="AB48" i="108"/>
  <c r="AC48" i="108" s="1"/>
  <c r="AB47" i="108"/>
  <c r="AC47" i="108" s="1"/>
  <c r="AB46" i="108"/>
  <c r="AC46" i="108" s="1"/>
  <c r="AB45" i="108"/>
  <c r="AC45" i="108" s="1"/>
  <c r="AB44" i="108"/>
  <c r="AC44" i="108" s="1"/>
  <c r="AB43" i="108"/>
  <c r="AC43" i="108" s="1"/>
  <c r="AB42" i="108"/>
  <c r="AC42" i="108" s="1"/>
  <c r="AB41" i="108"/>
  <c r="AC41" i="108" s="1"/>
  <c r="AB40" i="108"/>
  <c r="AC40" i="108" s="1"/>
  <c r="AB39" i="108"/>
  <c r="AC39" i="108" s="1"/>
  <c r="AB38" i="108"/>
  <c r="AC38" i="108" s="1"/>
  <c r="AB37" i="108"/>
  <c r="AC37" i="108" s="1"/>
  <c r="AB36" i="108"/>
  <c r="AC36" i="108" s="1"/>
  <c r="AB35" i="108"/>
  <c r="AC35" i="108" s="1"/>
  <c r="AB34" i="108"/>
  <c r="AC34" i="108" s="1"/>
  <c r="AB33" i="108"/>
  <c r="AC33" i="108" s="1"/>
  <c r="AB32" i="108"/>
  <c r="AC32" i="108" s="1"/>
  <c r="AB31" i="108"/>
  <c r="AC31" i="108" s="1"/>
  <c r="AB30" i="108"/>
  <c r="AC30" i="108" s="1"/>
  <c r="AB29" i="108"/>
  <c r="AC29" i="108" s="1"/>
  <c r="AB28" i="108"/>
  <c r="AC28" i="108" s="1"/>
  <c r="AB27" i="108"/>
  <c r="AC27" i="108" s="1"/>
  <c r="AB26" i="108"/>
  <c r="AC26" i="108" s="1"/>
  <c r="AB25" i="108"/>
  <c r="AC25" i="108" s="1"/>
  <c r="AB24" i="108"/>
  <c r="AC24" i="108" s="1"/>
  <c r="AB23" i="108"/>
  <c r="AC23" i="108" s="1"/>
  <c r="AB22" i="108"/>
  <c r="AC22" i="108" s="1"/>
  <c r="AB21" i="108"/>
  <c r="AC21" i="108" s="1"/>
  <c r="AB20" i="108"/>
  <c r="AC20" i="108" s="1"/>
  <c r="AB19" i="108"/>
  <c r="AC19" i="108" s="1"/>
  <c r="AB18" i="108"/>
  <c r="AC18" i="108" s="1"/>
  <c r="AB17" i="108"/>
  <c r="AC17" i="108" s="1"/>
  <c r="AB16" i="108"/>
  <c r="AC16" i="108" s="1"/>
  <c r="AB15" i="108"/>
  <c r="AB13" i="108"/>
  <c r="AB12" i="108"/>
  <c r="AC12" i="108" s="1"/>
  <c r="K12" i="108" s="1"/>
  <c r="AB11" i="108"/>
  <c r="AC11" i="108" s="1"/>
  <c r="O11" i="108" s="1"/>
  <c r="L7" i="123"/>
  <c r="BD7" i="123" s="1"/>
  <c r="M7" i="123"/>
  <c r="BE7" i="123" s="1"/>
  <c r="N7" i="123"/>
  <c r="BF7" i="123" s="1"/>
  <c r="V7" i="123"/>
  <c r="BN7" i="123" s="1"/>
  <c r="W7" i="123"/>
  <c r="BO7" i="123" s="1"/>
  <c r="X7" i="123"/>
  <c r="BP7" i="123" s="1"/>
  <c r="M307" i="108"/>
  <c r="L307" i="108"/>
  <c r="K307" i="108"/>
  <c r="M420" i="108"/>
  <c r="L420" i="108"/>
  <c r="K420" i="108"/>
  <c r="M394" i="108"/>
  <c r="L394" i="108"/>
  <c r="K394" i="108"/>
  <c r="N394" i="108" s="1"/>
  <c r="M385" i="108"/>
  <c r="N385" i="108" s="1"/>
  <c r="L385" i="108"/>
  <c r="K385" i="108"/>
  <c r="M380" i="108"/>
  <c r="L380" i="108"/>
  <c r="K380" i="108"/>
  <c r="M378" i="108"/>
  <c r="L378" i="108"/>
  <c r="K378" i="108"/>
  <c r="M374" i="108"/>
  <c r="L374" i="108"/>
  <c r="K374" i="108"/>
  <c r="K360" i="108"/>
  <c r="L360" i="108"/>
  <c r="M360" i="108"/>
  <c r="K367" i="108"/>
  <c r="N367" i="108" s="1"/>
  <c r="L367" i="108"/>
  <c r="M367" i="108"/>
  <c r="K355" i="108"/>
  <c r="L355" i="108"/>
  <c r="N355" i="108" s="1"/>
  <c r="M355" i="108"/>
  <c r="K350" i="108"/>
  <c r="L350" i="108"/>
  <c r="M350" i="108"/>
  <c r="K351" i="108"/>
  <c r="L351" i="108"/>
  <c r="M351" i="108"/>
  <c r="K347" i="108"/>
  <c r="L347" i="108"/>
  <c r="M347" i="108"/>
  <c r="M308" i="108"/>
  <c r="L308" i="108"/>
  <c r="K308" i="108"/>
  <c r="M63" i="108"/>
  <c r="L63" i="108"/>
  <c r="K63" i="108"/>
  <c r="F860" i="108"/>
  <c r="C34" i="109" s="1"/>
  <c r="E860" i="108"/>
  <c r="C33" i="109"/>
  <c r="D860" i="108"/>
  <c r="D866" i="108" s="1"/>
  <c r="M59" i="108"/>
  <c r="L59" i="108"/>
  <c r="K59" i="108"/>
  <c r="M77" i="108"/>
  <c r="L77" i="108"/>
  <c r="K77" i="108"/>
  <c r="M858" i="108"/>
  <c r="L858" i="108"/>
  <c r="K858" i="108"/>
  <c r="M855" i="108"/>
  <c r="L855" i="108"/>
  <c r="K855" i="108"/>
  <c r="M850" i="108"/>
  <c r="L850" i="108"/>
  <c r="K850" i="108"/>
  <c r="M849" i="108"/>
  <c r="L849" i="108"/>
  <c r="K849" i="108"/>
  <c r="M845" i="108"/>
  <c r="L845" i="108"/>
  <c r="K845" i="108"/>
  <c r="M680" i="108"/>
  <c r="L680" i="108"/>
  <c r="K680" i="108"/>
  <c r="M679" i="108"/>
  <c r="L679" i="108"/>
  <c r="K679" i="108"/>
  <c r="M678" i="108"/>
  <c r="L678" i="108"/>
  <c r="K678" i="108"/>
  <c r="N678" i="108" s="1"/>
  <c r="M340" i="108"/>
  <c r="L340" i="108"/>
  <c r="K340" i="108"/>
  <c r="M255" i="108"/>
  <c r="L255" i="108"/>
  <c r="K255" i="108"/>
  <c r="M54" i="108"/>
  <c r="L54" i="108"/>
  <c r="K54" i="108"/>
  <c r="M51" i="108"/>
  <c r="L51" i="108"/>
  <c r="K51" i="108"/>
  <c r="M50" i="108"/>
  <c r="L50" i="108"/>
  <c r="K50" i="108"/>
  <c r="M24" i="108"/>
  <c r="L24" i="108"/>
  <c r="K24" i="108"/>
  <c r="M75" i="108"/>
  <c r="L75" i="108"/>
  <c r="K75" i="108"/>
  <c r="M695" i="108"/>
  <c r="L695" i="108"/>
  <c r="K695" i="108"/>
  <c r="M388" i="108"/>
  <c r="N388" i="108" s="1"/>
  <c r="L388" i="108"/>
  <c r="K388" i="108"/>
  <c r="M78" i="108"/>
  <c r="L78" i="108"/>
  <c r="K78" i="108"/>
  <c r="M76" i="108"/>
  <c r="L76" i="108"/>
  <c r="K76" i="108"/>
  <c r="M74" i="108"/>
  <c r="L74" i="108"/>
  <c r="K74" i="108"/>
  <c r="M73" i="108"/>
  <c r="N73" i="108" s="1"/>
  <c r="L73" i="108"/>
  <c r="K73" i="108"/>
  <c r="M72" i="108"/>
  <c r="L72" i="108"/>
  <c r="K72" i="108"/>
  <c r="M71" i="108"/>
  <c r="L71" i="108"/>
  <c r="K71" i="108"/>
  <c r="M70" i="108"/>
  <c r="L70" i="108"/>
  <c r="K70" i="108"/>
  <c r="M69" i="108"/>
  <c r="L69" i="108"/>
  <c r="K69" i="108"/>
  <c r="M68" i="108"/>
  <c r="L68" i="108"/>
  <c r="K68" i="108"/>
  <c r="M67" i="108"/>
  <c r="L67" i="108"/>
  <c r="K67" i="108"/>
  <c r="M66" i="108"/>
  <c r="L66" i="108"/>
  <c r="K66" i="108"/>
  <c r="M64" i="108"/>
  <c r="L64" i="108"/>
  <c r="K64" i="108"/>
  <c r="M62" i="108"/>
  <c r="L62" i="108"/>
  <c r="K62" i="108"/>
  <c r="M61" i="108"/>
  <c r="L61" i="108"/>
  <c r="K61" i="108"/>
  <c r="K58" i="108"/>
  <c r="L58" i="108"/>
  <c r="M58" i="108"/>
  <c r="M57" i="108"/>
  <c r="N57" i="108" s="1"/>
  <c r="L57" i="108"/>
  <c r="K57" i="108"/>
  <c r="M56" i="108"/>
  <c r="L56" i="108"/>
  <c r="K56" i="108"/>
  <c r="M55" i="108"/>
  <c r="L55" i="108"/>
  <c r="K55" i="108"/>
  <c r="M32" i="108"/>
  <c r="L32" i="108"/>
  <c r="K32" i="108"/>
  <c r="M21" i="108"/>
  <c r="L21" i="108"/>
  <c r="K21" i="108"/>
  <c r="M20" i="108"/>
  <c r="L20" i="108"/>
  <c r="K20" i="108"/>
  <c r="M19" i="108"/>
  <c r="L19" i="108"/>
  <c r="K19" i="108"/>
  <c r="M18" i="108"/>
  <c r="L18" i="108"/>
  <c r="K18" i="108"/>
  <c r="L49" i="108"/>
  <c r="M49" i="108"/>
  <c r="K49" i="108"/>
  <c r="M65" i="108"/>
  <c r="L65" i="108"/>
  <c r="K65" i="108"/>
  <c r="M60" i="108"/>
  <c r="L60" i="108"/>
  <c r="K60" i="108"/>
  <c r="M36" i="108"/>
  <c r="L36" i="108"/>
  <c r="K36" i="108"/>
  <c r="K257" i="108"/>
  <c r="L257" i="108"/>
  <c r="M257" i="108"/>
  <c r="K683" i="108"/>
  <c r="L683" i="108"/>
  <c r="M683" i="108"/>
  <c r="L692" i="108"/>
  <c r="M692" i="108"/>
  <c r="K692" i="108"/>
  <c r="AX25" i="123"/>
  <c r="AY25" i="123"/>
  <c r="AZ25" i="123"/>
  <c r="BA25" i="123"/>
  <c r="BB25" i="123"/>
  <c r="BC25" i="123"/>
  <c r="BD25" i="123"/>
  <c r="BE25" i="123"/>
  <c r="BF25" i="123"/>
  <c r="BH25" i="123"/>
  <c r="BI25" i="123"/>
  <c r="BJ25" i="123"/>
  <c r="BK25" i="123"/>
  <c r="BL25" i="123"/>
  <c r="BM25" i="123"/>
  <c r="BN25" i="123"/>
  <c r="BO25" i="123"/>
  <c r="BP25" i="123"/>
  <c r="AV25" i="123"/>
  <c r="V23" i="123"/>
  <c r="BN23" i="123" s="1"/>
  <c r="W23" i="123"/>
  <c r="BO23" i="123"/>
  <c r="X23" i="123"/>
  <c r="BP23" i="123" s="1"/>
  <c r="L23" i="123"/>
  <c r="BD23" i="123" s="1"/>
  <c r="M23" i="123"/>
  <c r="BE23" i="123" s="1"/>
  <c r="N23" i="123"/>
  <c r="BF23" i="123" s="1"/>
  <c r="I16" i="110"/>
  <c r="J16" i="110"/>
  <c r="H16" i="110"/>
  <c r="I14" i="110"/>
  <c r="W14" i="110" s="1"/>
  <c r="J14" i="110"/>
  <c r="H14" i="110"/>
  <c r="AX23" i="123"/>
  <c r="AY23" i="123"/>
  <c r="AZ23" i="123"/>
  <c r="BA23" i="123"/>
  <c r="BB23" i="123"/>
  <c r="BC23" i="123"/>
  <c r="BH23" i="123"/>
  <c r="BI23" i="123"/>
  <c r="BJ23" i="123"/>
  <c r="BK23" i="123"/>
  <c r="BL23" i="123"/>
  <c r="BM23" i="123"/>
  <c r="V63" i="108"/>
  <c r="W63" i="108"/>
  <c r="X63" i="108"/>
  <c r="Y63" i="108"/>
  <c r="Z63" i="108"/>
  <c r="B37" i="109"/>
  <c r="O145" i="132"/>
  <c r="M145" i="132"/>
  <c r="L145" i="132"/>
  <c r="N145" i="132"/>
  <c r="K145" i="132"/>
  <c r="J145" i="132"/>
  <c r="I145" i="132"/>
  <c r="H145" i="132"/>
  <c r="G145" i="132"/>
  <c r="F145" i="132"/>
  <c r="E145" i="132"/>
  <c r="D145" i="132"/>
  <c r="C145" i="132"/>
  <c r="O117" i="132"/>
  <c r="M117" i="132"/>
  <c r="J117" i="132"/>
  <c r="K117" i="132"/>
  <c r="L117" i="132"/>
  <c r="N117" i="132" s="1"/>
  <c r="I117" i="132"/>
  <c r="H117" i="132"/>
  <c r="G117" i="132"/>
  <c r="F117" i="132"/>
  <c r="E117" i="132"/>
  <c r="D117" i="132"/>
  <c r="C117" i="132"/>
  <c r="O91" i="132"/>
  <c r="N91" i="132"/>
  <c r="M91" i="132"/>
  <c r="L91" i="132"/>
  <c r="K91" i="132"/>
  <c r="J91" i="132"/>
  <c r="I91" i="132"/>
  <c r="H91" i="132"/>
  <c r="G91" i="132"/>
  <c r="F91" i="132"/>
  <c r="E91" i="132"/>
  <c r="D91" i="132"/>
  <c r="C91" i="132"/>
  <c r="O43" i="132"/>
  <c r="N43" i="132"/>
  <c r="M43" i="132"/>
  <c r="L43" i="132"/>
  <c r="K43" i="132"/>
  <c r="J43" i="132"/>
  <c r="I43" i="132"/>
  <c r="H43" i="132"/>
  <c r="G43" i="132"/>
  <c r="F43" i="132"/>
  <c r="E43" i="132"/>
  <c r="D43" i="132"/>
  <c r="C43" i="132"/>
  <c r="O14" i="132"/>
  <c r="M14" i="132"/>
  <c r="M147" i="132" s="1"/>
  <c r="L14" i="132"/>
  <c r="K14" i="132"/>
  <c r="J14" i="132"/>
  <c r="I14" i="132"/>
  <c r="I147" i="132" s="1"/>
  <c r="I549" i="132" s="1"/>
  <c r="C20" i="109" s="1"/>
  <c r="H14" i="132"/>
  <c r="G14" i="132"/>
  <c r="F14" i="132"/>
  <c r="F147" i="132" s="1"/>
  <c r="F549" i="132" s="1"/>
  <c r="C17" i="109" s="1"/>
  <c r="E14" i="132"/>
  <c r="E147" i="132" s="1"/>
  <c r="E549" i="132" s="1"/>
  <c r="D14" i="132"/>
  <c r="C14" i="132"/>
  <c r="V36" i="108"/>
  <c r="X36" i="108"/>
  <c r="Z36" i="108"/>
  <c r="W60" i="108"/>
  <c r="Y60" i="108"/>
  <c r="Z60" i="108"/>
  <c r="W65" i="108"/>
  <c r="Y65" i="108"/>
  <c r="Z65" i="108"/>
  <c r="V77" i="108"/>
  <c r="W77" i="108"/>
  <c r="X77" i="108"/>
  <c r="Y77" i="108"/>
  <c r="Z77" i="108"/>
  <c r="W257" i="108"/>
  <c r="Y257" i="108"/>
  <c r="Z257" i="108"/>
  <c r="W683" i="108"/>
  <c r="Y683" i="108"/>
  <c r="Z683" i="108"/>
  <c r="V692" i="108"/>
  <c r="X692" i="108"/>
  <c r="Z692" i="108"/>
  <c r="R15" i="108"/>
  <c r="S15" i="108"/>
  <c r="W15" i="108"/>
  <c r="T15" i="108"/>
  <c r="Y15" i="108"/>
  <c r="V15" i="108"/>
  <c r="X15" i="108"/>
  <c r="Z15" i="108"/>
  <c r="R16" i="108"/>
  <c r="S16" i="108"/>
  <c r="W16" i="108"/>
  <c r="T16" i="108"/>
  <c r="Y16" i="108"/>
  <c r="V16" i="108"/>
  <c r="X16" i="108"/>
  <c r="Z16" i="108"/>
  <c r="R17" i="108"/>
  <c r="S17" i="108"/>
  <c r="W17" i="108"/>
  <c r="T17" i="108"/>
  <c r="Y17" i="108"/>
  <c r="V17" i="108"/>
  <c r="X17" i="108"/>
  <c r="Z17" i="108"/>
  <c r="R22" i="108"/>
  <c r="S22" i="108"/>
  <c r="W22" i="108"/>
  <c r="T22" i="108"/>
  <c r="Y22" i="108"/>
  <c r="V22" i="108"/>
  <c r="X22" i="108"/>
  <c r="Z22" i="108"/>
  <c r="R25" i="108"/>
  <c r="S25" i="108"/>
  <c r="W25" i="108"/>
  <c r="T25" i="108"/>
  <c r="Y25" i="108"/>
  <c r="V25" i="108"/>
  <c r="X25" i="108"/>
  <c r="Z25" i="108"/>
  <c r="R26" i="108"/>
  <c r="S26" i="108"/>
  <c r="W26" i="108"/>
  <c r="T26" i="108"/>
  <c r="Y26" i="108"/>
  <c r="V26" i="108"/>
  <c r="X26" i="108"/>
  <c r="Z26" i="108"/>
  <c r="R27" i="108"/>
  <c r="S27" i="108"/>
  <c r="W27" i="108"/>
  <c r="T27" i="108"/>
  <c r="Y27" i="108"/>
  <c r="V27" i="108"/>
  <c r="X27" i="108"/>
  <c r="Z27" i="108"/>
  <c r="R28" i="108"/>
  <c r="S28" i="108"/>
  <c r="W28" i="108"/>
  <c r="T28" i="108"/>
  <c r="Y28" i="108"/>
  <c r="V28" i="108"/>
  <c r="X28" i="108"/>
  <c r="Z28" i="108"/>
  <c r="R29" i="108"/>
  <c r="S29" i="108"/>
  <c r="W29" i="108"/>
  <c r="T29" i="108"/>
  <c r="Y29" i="108"/>
  <c r="V29" i="108"/>
  <c r="X29" i="108"/>
  <c r="Z29" i="108"/>
  <c r="R30" i="108"/>
  <c r="S30" i="108"/>
  <c r="W30" i="108"/>
  <c r="T30" i="108"/>
  <c r="Y30" i="108"/>
  <c r="V30" i="108"/>
  <c r="X30" i="108"/>
  <c r="Z30" i="108"/>
  <c r="R31" i="108"/>
  <c r="S31" i="108"/>
  <c r="W31" i="108"/>
  <c r="T31" i="108"/>
  <c r="Y31" i="108"/>
  <c r="V31" i="108"/>
  <c r="X31" i="108"/>
  <c r="Z31" i="108"/>
  <c r="R33" i="108"/>
  <c r="S33" i="108"/>
  <c r="W33" i="108"/>
  <c r="T33" i="108"/>
  <c r="Y33" i="108"/>
  <c r="V33" i="108"/>
  <c r="X33" i="108"/>
  <c r="Z33" i="108"/>
  <c r="R34" i="108"/>
  <c r="S34" i="108"/>
  <c r="W34" i="108"/>
  <c r="T34" i="108"/>
  <c r="Y34" i="108"/>
  <c r="V34" i="108"/>
  <c r="X34" i="108"/>
  <c r="Z34" i="108"/>
  <c r="R35" i="108"/>
  <c r="S35" i="108"/>
  <c r="W35" i="108"/>
  <c r="T35" i="108"/>
  <c r="Y35" i="108"/>
  <c r="V35" i="108"/>
  <c r="X35" i="108"/>
  <c r="Z35" i="108"/>
  <c r="R37" i="108"/>
  <c r="S37" i="108"/>
  <c r="W37" i="108"/>
  <c r="T37" i="108"/>
  <c r="Y37" i="108"/>
  <c r="V37" i="108"/>
  <c r="X37" i="108"/>
  <c r="Z37" i="108"/>
  <c r="R38" i="108"/>
  <c r="S38" i="108"/>
  <c r="W38" i="108"/>
  <c r="T38" i="108"/>
  <c r="Y38" i="108"/>
  <c r="V38" i="108"/>
  <c r="X38" i="108"/>
  <c r="Z38" i="108"/>
  <c r="R39" i="108"/>
  <c r="S39" i="108"/>
  <c r="W39" i="108"/>
  <c r="T39" i="108"/>
  <c r="Y39" i="108"/>
  <c r="V39" i="108"/>
  <c r="X39" i="108"/>
  <c r="Z39" i="108"/>
  <c r="R40" i="108"/>
  <c r="S40" i="108"/>
  <c r="W40" i="108"/>
  <c r="T40" i="108"/>
  <c r="Y40" i="108"/>
  <c r="V40" i="108"/>
  <c r="X40" i="108"/>
  <c r="Z40" i="108"/>
  <c r="R41" i="108"/>
  <c r="S41" i="108"/>
  <c r="W41" i="108"/>
  <c r="T41" i="108"/>
  <c r="Y41" i="108"/>
  <c r="V41" i="108"/>
  <c r="X41" i="108"/>
  <c r="Z41" i="108"/>
  <c r="R42" i="108"/>
  <c r="S42" i="108"/>
  <c r="W42" i="108"/>
  <c r="T42" i="108"/>
  <c r="Y42" i="108"/>
  <c r="V42" i="108"/>
  <c r="X42" i="108"/>
  <c r="Z42" i="108"/>
  <c r="R43" i="108"/>
  <c r="S43" i="108"/>
  <c r="W43" i="108"/>
  <c r="T43" i="108"/>
  <c r="Y43" i="108"/>
  <c r="V43" i="108"/>
  <c r="X43" i="108"/>
  <c r="Z43" i="108"/>
  <c r="R44" i="108"/>
  <c r="S44" i="108"/>
  <c r="W44" i="108"/>
  <c r="T44" i="108"/>
  <c r="Y44" i="108"/>
  <c r="V44" i="108"/>
  <c r="X44" i="108"/>
  <c r="Z44" i="108"/>
  <c r="R45" i="108"/>
  <c r="S45" i="108"/>
  <c r="W45" i="108"/>
  <c r="T45" i="108"/>
  <c r="Y45" i="108"/>
  <c r="V45" i="108"/>
  <c r="X45" i="108"/>
  <c r="Z45" i="108"/>
  <c r="R46" i="108"/>
  <c r="S46" i="108"/>
  <c r="W46" i="108"/>
  <c r="T46" i="108"/>
  <c r="Y46" i="108"/>
  <c r="V46" i="108"/>
  <c r="X46" i="108"/>
  <c r="Z46" i="108"/>
  <c r="R47" i="108"/>
  <c r="S47" i="108"/>
  <c r="W47" i="108"/>
  <c r="T47" i="108"/>
  <c r="Y47" i="108"/>
  <c r="V47" i="108"/>
  <c r="X47" i="108"/>
  <c r="Z47" i="108"/>
  <c r="R48" i="108"/>
  <c r="S48" i="108"/>
  <c r="W48" i="108"/>
  <c r="T48" i="108"/>
  <c r="Y48" i="108"/>
  <c r="V48" i="108"/>
  <c r="X48" i="108"/>
  <c r="Z48" i="108"/>
  <c r="R52" i="108"/>
  <c r="S52" i="108"/>
  <c r="W52" i="108"/>
  <c r="T52" i="108"/>
  <c r="Y52" i="108"/>
  <c r="V52" i="108"/>
  <c r="X52" i="108"/>
  <c r="Z52" i="108"/>
  <c r="R53" i="108"/>
  <c r="S53" i="108"/>
  <c r="W53" i="108"/>
  <c r="T53" i="108"/>
  <c r="Y53" i="108"/>
  <c r="V53" i="108"/>
  <c r="X53" i="108"/>
  <c r="Z53" i="108"/>
  <c r="R79" i="108"/>
  <c r="S79" i="108"/>
  <c r="W79" i="108"/>
  <c r="T79" i="108"/>
  <c r="Y79" i="108"/>
  <c r="V79" i="108"/>
  <c r="X79" i="108"/>
  <c r="Z79" i="108"/>
  <c r="R80" i="108"/>
  <c r="S80" i="108"/>
  <c r="W80" i="108"/>
  <c r="T80" i="108"/>
  <c r="Y80" i="108"/>
  <c r="V80" i="108"/>
  <c r="X80" i="108"/>
  <c r="Z80" i="108"/>
  <c r="R81" i="108"/>
  <c r="S81" i="108"/>
  <c r="W81" i="108"/>
  <c r="T81" i="108"/>
  <c r="Y81" i="108"/>
  <c r="V81" i="108"/>
  <c r="X81" i="108"/>
  <c r="Z81" i="108"/>
  <c r="R82" i="108"/>
  <c r="S82" i="108"/>
  <c r="W82" i="108"/>
  <c r="T82" i="108"/>
  <c r="Y82" i="108"/>
  <c r="V82" i="108"/>
  <c r="X82" i="108"/>
  <c r="Z82" i="108"/>
  <c r="R83" i="108"/>
  <c r="S83" i="108"/>
  <c r="W83" i="108"/>
  <c r="T83" i="108"/>
  <c r="Y83" i="108"/>
  <c r="V83" i="108"/>
  <c r="X83" i="108"/>
  <c r="Z83" i="108"/>
  <c r="R84" i="108"/>
  <c r="S84" i="108"/>
  <c r="W84" i="108"/>
  <c r="T84" i="108"/>
  <c r="Y84" i="108"/>
  <c r="V84" i="108"/>
  <c r="X84" i="108"/>
  <c r="Z84" i="108"/>
  <c r="R85" i="108"/>
  <c r="S85" i="108"/>
  <c r="W85" i="108"/>
  <c r="T85" i="108"/>
  <c r="Y85" i="108"/>
  <c r="V85" i="108"/>
  <c r="X85" i="108"/>
  <c r="Z85" i="108"/>
  <c r="R86" i="108"/>
  <c r="S86" i="108"/>
  <c r="W86" i="108"/>
  <c r="T86" i="108"/>
  <c r="Y86" i="108"/>
  <c r="V86" i="108"/>
  <c r="X86" i="108"/>
  <c r="Z86" i="108"/>
  <c r="R87" i="108"/>
  <c r="S87" i="108"/>
  <c r="W87" i="108"/>
  <c r="T87" i="108"/>
  <c r="Y87" i="108"/>
  <c r="V87" i="108"/>
  <c r="X87" i="108"/>
  <c r="Z87" i="108"/>
  <c r="R88" i="108"/>
  <c r="S88" i="108"/>
  <c r="W88" i="108"/>
  <c r="T88" i="108"/>
  <c r="Y88" i="108"/>
  <c r="V88" i="108"/>
  <c r="X88" i="108"/>
  <c r="Z88" i="108"/>
  <c r="R89" i="108"/>
  <c r="S89" i="108"/>
  <c r="W89" i="108"/>
  <c r="T89" i="108"/>
  <c r="Y89" i="108"/>
  <c r="V89" i="108"/>
  <c r="X89" i="108"/>
  <c r="Z89" i="108"/>
  <c r="R90" i="108"/>
  <c r="S90" i="108"/>
  <c r="W90" i="108"/>
  <c r="T90" i="108"/>
  <c r="Y90" i="108"/>
  <c r="V90" i="108"/>
  <c r="X90" i="108"/>
  <c r="Z90" i="108"/>
  <c r="R91" i="108"/>
  <c r="S91" i="108"/>
  <c r="W91" i="108"/>
  <c r="T91" i="108"/>
  <c r="Y91" i="108"/>
  <c r="V91" i="108"/>
  <c r="X91" i="108"/>
  <c r="Z91" i="108"/>
  <c r="R92" i="108"/>
  <c r="S92" i="108"/>
  <c r="W92" i="108"/>
  <c r="T92" i="108"/>
  <c r="Y92" i="108"/>
  <c r="V92" i="108"/>
  <c r="X92" i="108"/>
  <c r="Z92" i="108"/>
  <c r="R93" i="108"/>
  <c r="S93" i="108"/>
  <c r="W93" i="108"/>
  <c r="T93" i="108"/>
  <c r="Y93" i="108"/>
  <c r="V93" i="108"/>
  <c r="X93" i="108"/>
  <c r="Z93" i="108"/>
  <c r="R94" i="108"/>
  <c r="S94" i="108"/>
  <c r="W94" i="108"/>
  <c r="T94" i="108"/>
  <c r="Y94" i="108"/>
  <c r="V94" i="108"/>
  <c r="X94" i="108"/>
  <c r="Z94" i="108"/>
  <c r="R95" i="108"/>
  <c r="S95" i="108"/>
  <c r="W95" i="108"/>
  <c r="T95" i="108"/>
  <c r="Y95" i="108"/>
  <c r="V95" i="108"/>
  <c r="X95" i="108"/>
  <c r="Z95" i="108"/>
  <c r="R96" i="108"/>
  <c r="S96" i="108"/>
  <c r="W96" i="108"/>
  <c r="T96" i="108"/>
  <c r="Y96" i="108"/>
  <c r="V96" i="108"/>
  <c r="X96" i="108"/>
  <c r="Z96" i="108"/>
  <c r="R97" i="108"/>
  <c r="S97" i="108"/>
  <c r="W97" i="108"/>
  <c r="T97" i="108"/>
  <c r="Y97" i="108"/>
  <c r="V97" i="108"/>
  <c r="X97" i="108"/>
  <c r="Z97" i="108"/>
  <c r="R98" i="108"/>
  <c r="S98" i="108"/>
  <c r="W98" i="108"/>
  <c r="T98" i="108"/>
  <c r="Y98" i="108"/>
  <c r="V98" i="108"/>
  <c r="X98" i="108"/>
  <c r="Z98" i="108"/>
  <c r="R99" i="108"/>
  <c r="S99" i="108"/>
  <c r="W99" i="108"/>
  <c r="T99" i="108"/>
  <c r="Y99" i="108"/>
  <c r="V99" i="108"/>
  <c r="X99" i="108"/>
  <c r="Z99" i="108"/>
  <c r="R100" i="108"/>
  <c r="S100" i="108"/>
  <c r="W100" i="108"/>
  <c r="T100" i="108"/>
  <c r="Y100" i="108"/>
  <c r="V100" i="108"/>
  <c r="X100" i="108"/>
  <c r="Z100" i="108"/>
  <c r="R101" i="108"/>
  <c r="S101" i="108"/>
  <c r="W101" i="108"/>
  <c r="T101" i="108"/>
  <c r="Y101" i="108"/>
  <c r="V101" i="108"/>
  <c r="X101" i="108"/>
  <c r="Z101" i="108"/>
  <c r="R102" i="108"/>
  <c r="S102" i="108"/>
  <c r="W102" i="108"/>
  <c r="T102" i="108"/>
  <c r="Y102" i="108"/>
  <c r="V102" i="108"/>
  <c r="X102" i="108"/>
  <c r="Z102" i="108"/>
  <c r="R103" i="108"/>
  <c r="S103" i="108"/>
  <c r="W103" i="108"/>
  <c r="T103" i="108"/>
  <c r="Y103" i="108"/>
  <c r="V103" i="108"/>
  <c r="X103" i="108"/>
  <c r="Z103" i="108"/>
  <c r="R104" i="108"/>
  <c r="S104" i="108"/>
  <c r="W104" i="108"/>
  <c r="T104" i="108"/>
  <c r="Y104" i="108"/>
  <c r="V104" i="108"/>
  <c r="X104" i="108"/>
  <c r="Z104" i="108"/>
  <c r="R105" i="108"/>
  <c r="S105" i="108"/>
  <c r="W105" i="108"/>
  <c r="T105" i="108"/>
  <c r="Y105" i="108"/>
  <c r="V105" i="108"/>
  <c r="X105" i="108"/>
  <c r="Z105" i="108"/>
  <c r="R106" i="108"/>
  <c r="S106" i="108"/>
  <c r="W106" i="108"/>
  <c r="T106" i="108"/>
  <c r="Y106" i="108"/>
  <c r="V106" i="108"/>
  <c r="X106" i="108"/>
  <c r="Z106" i="108"/>
  <c r="R107" i="108"/>
  <c r="S107" i="108"/>
  <c r="W107" i="108"/>
  <c r="T107" i="108"/>
  <c r="Y107" i="108"/>
  <c r="V107" i="108"/>
  <c r="X107" i="108"/>
  <c r="Z107" i="108"/>
  <c r="R108" i="108"/>
  <c r="S108" i="108"/>
  <c r="W108" i="108"/>
  <c r="T108" i="108"/>
  <c r="Y108" i="108"/>
  <c r="V108" i="108"/>
  <c r="X108" i="108"/>
  <c r="Z108" i="108"/>
  <c r="R109" i="108"/>
  <c r="S109" i="108"/>
  <c r="W109" i="108"/>
  <c r="T109" i="108"/>
  <c r="Y109" i="108"/>
  <c r="V109" i="108"/>
  <c r="X109" i="108"/>
  <c r="Z109" i="108"/>
  <c r="R110" i="108"/>
  <c r="S110" i="108"/>
  <c r="W110" i="108"/>
  <c r="T110" i="108"/>
  <c r="Y110" i="108"/>
  <c r="V110" i="108"/>
  <c r="X110" i="108"/>
  <c r="Z110" i="108"/>
  <c r="R111" i="108"/>
  <c r="S111" i="108"/>
  <c r="W111" i="108"/>
  <c r="T111" i="108"/>
  <c r="Y111" i="108"/>
  <c r="V111" i="108"/>
  <c r="X111" i="108"/>
  <c r="Z111" i="108"/>
  <c r="R112" i="108"/>
  <c r="S112" i="108"/>
  <c r="W112" i="108"/>
  <c r="T112" i="108"/>
  <c r="Y112" i="108"/>
  <c r="V112" i="108"/>
  <c r="X112" i="108"/>
  <c r="Z112" i="108"/>
  <c r="R113" i="108"/>
  <c r="S113" i="108"/>
  <c r="W113" i="108"/>
  <c r="T113" i="108"/>
  <c r="Y113" i="108"/>
  <c r="V113" i="108"/>
  <c r="X113" i="108"/>
  <c r="Z113" i="108"/>
  <c r="R114" i="108"/>
  <c r="S114" i="108"/>
  <c r="W114" i="108"/>
  <c r="T114" i="108"/>
  <c r="Y114" i="108"/>
  <c r="V114" i="108"/>
  <c r="X114" i="108"/>
  <c r="Z114" i="108"/>
  <c r="R115" i="108"/>
  <c r="S115" i="108"/>
  <c r="W115" i="108"/>
  <c r="T115" i="108"/>
  <c r="Y115" i="108"/>
  <c r="V115" i="108"/>
  <c r="X115" i="108"/>
  <c r="Z115" i="108"/>
  <c r="R116" i="108"/>
  <c r="S116" i="108"/>
  <c r="W116" i="108"/>
  <c r="T116" i="108"/>
  <c r="Y116" i="108"/>
  <c r="V116" i="108"/>
  <c r="X116" i="108"/>
  <c r="Z116" i="108"/>
  <c r="R117" i="108"/>
  <c r="S117" i="108"/>
  <c r="W117" i="108"/>
  <c r="T117" i="108"/>
  <c r="Y117" i="108"/>
  <c r="V117" i="108"/>
  <c r="X117" i="108"/>
  <c r="Z117" i="108"/>
  <c r="R118" i="108"/>
  <c r="S118" i="108"/>
  <c r="W118" i="108"/>
  <c r="T118" i="108"/>
  <c r="Y118" i="108"/>
  <c r="V118" i="108"/>
  <c r="X118" i="108"/>
  <c r="Z118" i="108"/>
  <c r="R119" i="108"/>
  <c r="S119" i="108"/>
  <c r="W119" i="108"/>
  <c r="T119" i="108"/>
  <c r="Y119" i="108"/>
  <c r="V119" i="108"/>
  <c r="X119" i="108"/>
  <c r="Z119" i="108"/>
  <c r="R120" i="108"/>
  <c r="S120" i="108"/>
  <c r="W120" i="108"/>
  <c r="T120" i="108"/>
  <c r="Y120" i="108"/>
  <c r="V120" i="108"/>
  <c r="X120" i="108"/>
  <c r="Z120" i="108"/>
  <c r="R121" i="108"/>
  <c r="S121" i="108"/>
  <c r="W121" i="108"/>
  <c r="T121" i="108"/>
  <c r="Y121" i="108"/>
  <c r="V121" i="108"/>
  <c r="X121" i="108"/>
  <c r="Z121" i="108"/>
  <c r="R122" i="108"/>
  <c r="S122" i="108"/>
  <c r="W122" i="108"/>
  <c r="T122" i="108"/>
  <c r="Y122" i="108"/>
  <c r="V122" i="108"/>
  <c r="X122" i="108"/>
  <c r="Z122" i="108"/>
  <c r="R123" i="108"/>
  <c r="S123" i="108"/>
  <c r="W123" i="108"/>
  <c r="T123" i="108"/>
  <c r="Y123" i="108"/>
  <c r="V123" i="108"/>
  <c r="X123" i="108"/>
  <c r="Z123" i="108"/>
  <c r="R124" i="108"/>
  <c r="S124" i="108"/>
  <c r="W124" i="108"/>
  <c r="T124" i="108"/>
  <c r="Y124" i="108"/>
  <c r="V124" i="108"/>
  <c r="X124" i="108"/>
  <c r="Z124" i="108"/>
  <c r="R125" i="108"/>
  <c r="S125" i="108"/>
  <c r="W125" i="108"/>
  <c r="T125" i="108"/>
  <c r="Y125" i="108"/>
  <c r="V125" i="108"/>
  <c r="X125" i="108"/>
  <c r="Z125" i="108"/>
  <c r="R126" i="108"/>
  <c r="S126" i="108"/>
  <c r="W126" i="108"/>
  <c r="T126" i="108"/>
  <c r="Y126" i="108"/>
  <c r="V126" i="108"/>
  <c r="X126" i="108"/>
  <c r="Z126" i="108"/>
  <c r="R127" i="108"/>
  <c r="S127" i="108"/>
  <c r="W127" i="108"/>
  <c r="T127" i="108"/>
  <c r="Y127" i="108"/>
  <c r="V127" i="108"/>
  <c r="X127" i="108"/>
  <c r="Z127" i="108"/>
  <c r="R128" i="108"/>
  <c r="S128" i="108"/>
  <c r="W128" i="108"/>
  <c r="T128" i="108"/>
  <c r="Y128" i="108"/>
  <c r="V128" i="108"/>
  <c r="X128" i="108"/>
  <c r="Z128" i="108"/>
  <c r="R129" i="108"/>
  <c r="S129" i="108"/>
  <c r="W129" i="108"/>
  <c r="T129" i="108"/>
  <c r="Y129" i="108"/>
  <c r="V129" i="108"/>
  <c r="X129" i="108"/>
  <c r="Z129" i="108"/>
  <c r="R130" i="108"/>
  <c r="S130" i="108"/>
  <c r="W130" i="108"/>
  <c r="T130" i="108"/>
  <c r="Y130" i="108"/>
  <c r="V130" i="108"/>
  <c r="X130" i="108"/>
  <c r="Z130" i="108"/>
  <c r="R131" i="108"/>
  <c r="S131" i="108"/>
  <c r="W131" i="108"/>
  <c r="T131" i="108"/>
  <c r="Y131" i="108"/>
  <c r="V131" i="108"/>
  <c r="X131" i="108"/>
  <c r="Z131" i="108"/>
  <c r="R132" i="108"/>
  <c r="S132" i="108"/>
  <c r="W132" i="108"/>
  <c r="T132" i="108"/>
  <c r="Y132" i="108"/>
  <c r="V132" i="108"/>
  <c r="X132" i="108"/>
  <c r="Z132" i="108"/>
  <c r="R133" i="108"/>
  <c r="S133" i="108"/>
  <c r="W133" i="108"/>
  <c r="T133" i="108"/>
  <c r="Y133" i="108"/>
  <c r="V133" i="108"/>
  <c r="X133" i="108"/>
  <c r="Z133" i="108"/>
  <c r="R134" i="108"/>
  <c r="S134" i="108"/>
  <c r="W134" i="108"/>
  <c r="T134" i="108"/>
  <c r="Y134" i="108"/>
  <c r="V134" i="108"/>
  <c r="X134" i="108"/>
  <c r="Z134" i="108"/>
  <c r="R135" i="108"/>
  <c r="S135" i="108"/>
  <c r="W135" i="108"/>
  <c r="T135" i="108"/>
  <c r="Y135" i="108"/>
  <c r="V135" i="108"/>
  <c r="X135" i="108"/>
  <c r="Z135" i="108"/>
  <c r="R136" i="108"/>
  <c r="S136" i="108"/>
  <c r="W136" i="108"/>
  <c r="T136" i="108"/>
  <c r="Y136" i="108"/>
  <c r="V136" i="108"/>
  <c r="X136" i="108"/>
  <c r="Z136" i="108"/>
  <c r="R137" i="108"/>
  <c r="S137" i="108"/>
  <c r="W137" i="108"/>
  <c r="T137" i="108"/>
  <c r="Y137" i="108"/>
  <c r="V137" i="108"/>
  <c r="X137" i="108"/>
  <c r="Z137" i="108"/>
  <c r="R138" i="108"/>
  <c r="S138" i="108"/>
  <c r="W138" i="108"/>
  <c r="T138" i="108"/>
  <c r="Y138" i="108"/>
  <c r="V138" i="108"/>
  <c r="X138" i="108"/>
  <c r="Z138" i="108"/>
  <c r="R139" i="108"/>
  <c r="S139" i="108"/>
  <c r="W139" i="108"/>
  <c r="T139" i="108"/>
  <c r="Y139" i="108"/>
  <c r="V139" i="108"/>
  <c r="X139" i="108"/>
  <c r="Z139" i="108"/>
  <c r="R140" i="108"/>
  <c r="S140" i="108"/>
  <c r="W140" i="108"/>
  <c r="T140" i="108"/>
  <c r="Y140" i="108"/>
  <c r="V140" i="108"/>
  <c r="X140" i="108"/>
  <c r="Z140" i="108"/>
  <c r="R141" i="108"/>
  <c r="S141" i="108"/>
  <c r="W141" i="108"/>
  <c r="T141" i="108"/>
  <c r="Y141" i="108"/>
  <c r="V141" i="108"/>
  <c r="X141" i="108"/>
  <c r="Z141" i="108"/>
  <c r="R142" i="108"/>
  <c r="S142" i="108"/>
  <c r="W142" i="108"/>
  <c r="T142" i="108"/>
  <c r="Y142" i="108"/>
  <c r="V142" i="108"/>
  <c r="X142" i="108"/>
  <c r="Z142" i="108"/>
  <c r="R143" i="108"/>
  <c r="S143" i="108"/>
  <c r="W143" i="108"/>
  <c r="T143" i="108"/>
  <c r="Y143" i="108"/>
  <c r="V143" i="108"/>
  <c r="X143" i="108"/>
  <c r="Z143" i="108"/>
  <c r="R144" i="108"/>
  <c r="S144" i="108"/>
  <c r="W144" i="108"/>
  <c r="T144" i="108"/>
  <c r="Y144" i="108"/>
  <c r="V144" i="108"/>
  <c r="X144" i="108"/>
  <c r="Z144" i="108"/>
  <c r="R145" i="108"/>
  <c r="S145" i="108"/>
  <c r="W145" i="108"/>
  <c r="T145" i="108"/>
  <c r="Y145" i="108"/>
  <c r="V145" i="108"/>
  <c r="X145" i="108"/>
  <c r="Z145" i="108"/>
  <c r="R146" i="108"/>
  <c r="S146" i="108"/>
  <c r="W146" i="108"/>
  <c r="T146" i="108"/>
  <c r="Y146" i="108"/>
  <c r="V146" i="108"/>
  <c r="X146" i="108"/>
  <c r="Z146" i="108"/>
  <c r="R147" i="108"/>
  <c r="S147" i="108"/>
  <c r="W147" i="108"/>
  <c r="T147" i="108"/>
  <c r="Y147" i="108"/>
  <c r="V147" i="108"/>
  <c r="X147" i="108"/>
  <c r="Z147" i="108"/>
  <c r="R148" i="108"/>
  <c r="S148" i="108"/>
  <c r="W148" i="108"/>
  <c r="T148" i="108"/>
  <c r="Y148" i="108"/>
  <c r="V148" i="108"/>
  <c r="X148" i="108"/>
  <c r="Z148" i="108"/>
  <c r="R149" i="108"/>
  <c r="S149" i="108"/>
  <c r="W149" i="108"/>
  <c r="T149" i="108"/>
  <c r="Y149" i="108"/>
  <c r="V149" i="108"/>
  <c r="X149" i="108"/>
  <c r="Z149" i="108"/>
  <c r="R150" i="108"/>
  <c r="S150" i="108"/>
  <c r="W150" i="108"/>
  <c r="T150" i="108"/>
  <c r="Y150" i="108"/>
  <c r="V150" i="108"/>
  <c r="X150" i="108"/>
  <c r="Z150" i="108"/>
  <c r="R151" i="108"/>
  <c r="S151" i="108"/>
  <c r="W151" i="108"/>
  <c r="T151" i="108"/>
  <c r="Y151" i="108"/>
  <c r="V151" i="108"/>
  <c r="X151" i="108"/>
  <c r="Z151" i="108"/>
  <c r="R152" i="108"/>
  <c r="S152" i="108"/>
  <c r="W152" i="108"/>
  <c r="T152" i="108"/>
  <c r="Y152" i="108"/>
  <c r="V152" i="108"/>
  <c r="X152" i="108"/>
  <c r="Z152" i="108"/>
  <c r="R153" i="108"/>
  <c r="S153" i="108"/>
  <c r="W153" i="108"/>
  <c r="T153" i="108"/>
  <c r="Y153" i="108"/>
  <c r="V153" i="108"/>
  <c r="X153" i="108"/>
  <c r="Z153" i="108"/>
  <c r="R154" i="108"/>
  <c r="S154" i="108"/>
  <c r="W154" i="108"/>
  <c r="T154" i="108"/>
  <c r="Y154" i="108"/>
  <c r="V154" i="108"/>
  <c r="X154" i="108"/>
  <c r="Z154" i="108"/>
  <c r="R155" i="108"/>
  <c r="S155" i="108"/>
  <c r="W155" i="108"/>
  <c r="T155" i="108"/>
  <c r="Y155" i="108"/>
  <c r="V155" i="108"/>
  <c r="X155" i="108"/>
  <c r="Z155" i="108"/>
  <c r="R156" i="108"/>
  <c r="S156" i="108"/>
  <c r="W156" i="108"/>
  <c r="T156" i="108"/>
  <c r="Y156" i="108"/>
  <c r="V156" i="108"/>
  <c r="X156" i="108"/>
  <c r="Z156" i="108"/>
  <c r="R157" i="108"/>
  <c r="S157" i="108"/>
  <c r="W157" i="108"/>
  <c r="T157" i="108"/>
  <c r="Y157" i="108"/>
  <c r="V157" i="108"/>
  <c r="X157" i="108"/>
  <c r="Z157" i="108"/>
  <c r="R158" i="108"/>
  <c r="S158" i="108"/>
  <c r="W158" i="108"/>
  <c r="T158" i="108"/>
  <c r="Y158" i="108"/>
  <c r="V158" i="108"/>
  <c r="X158" i="108"/>
  <c r="Z158" i="108"/>
  <c r="R159" i="108"/>
  <c r="S159" i="108"/>
  <c r="W159" i="108"/>
  <c r="T159" i="108"/>
  <c r="Y159" i="108"/>
  <c r="V159" i="108"/>
  <c r="X159" i="108"/>
  <c r="Z159" i="108"/>
  <c r="R160" i="108"/>
  <c r="S160" i="108"/>
  <c r="W160" i="108"/>
  <c r="T160" i="108"/>
  <c r="Y160" i="108"/>
  <c r="V160" i="108"/>
  <c r="X160" i="108"/>
  <c r="Z160" i="108"/>
  <c r="R161" i="108"/>
  <c r="S161" i="108"/>
  <c r="W161" i="108"/>
  <c r="T161" i="108"/>
  <c r="Y161" i="108"/>
  <c r="V161" i="108"/>
  <c r="X161" i="108"/>
  <c r="Z161" i="108"/>
  <c r="R162" i="108"/>
  <c r="S162" i="108"/>
  <c r="W162" i="108"/>
  <c r="T162" i="108"/>
  <c r="Y162" i="108"/>
  <c r="V162" i="108"/>
  <c r="X162" i="108"/>
  <c r="Z162" i="108"/>
  <c r="R163" i="108"/>
  <c r="S163" i="108"/>
  <c r="W163" i="108"/>
  <c r="T163" i="108"/>
  <c r="Y163" i="108"/>
  <c r="V163" i="108"/>
  <c r="X163" i="108"/>
  <c r="Z163" i="108"/>
  <c r="R164" i="108"/>
  <c r="S164" i="108"/>
  <c r="W164" i="108"/>
  <c r="T164" i="108"/>
  <c r="Y164" i="108"/>
  <c r="V164" i="108"/>
  <c r="X164" i="108"/>
  <c r="Z164" i="108"/>
  <c r="R165" i="108"/>
  <c r="S165" i="108"/>
  <c r="W165" i="108"/>
  <c r="T165" i="108"/>
  <c r="Y165" i="108"/>
  <c r="V165" i="108"/>
  <c r="X165" i="108"/>
  <c r="Z165" i="108"/>
  <c r="R166" i="108"/>
  <c r="S166" i="108"/>
  <c r="W166" i="108"/>
  <c r="T166" i="108"/>
  <c r="Y166" i="108"/>
  <c r="V166" i="108"/>
  <c r="X166" i="108"/>
  <c r="Z166" i="108"/>
  <c r="R167" i="108"/>
  <c r="S167" i="108"/>
  <c r="W167" i="108"/>
  <c r="T167" i="108"/>
  <c r="Y167" i="108"/>
  <c r="V167" i="108"/>
  <c r="X167" i="108"/>
  <c r="Z167" i="108"/>
  <c r="R168" i="108"/>
  <c r="S168" i="108"/>
  <c r="W168" i="108"/>
  <c r="T168" i="108"/>
  <c r="Y168" i="108"/>
  <c r="V168" i="108"/>
  <c r="X168" i="108"/>
  <c r="Z168" i="108"/>
  <c r="R169" i="108"/>
  <c r="S169" i="108"/>
  <c r="W169" i="108"/>
  <c r="T169" i="108"/>
  <c r="Y169" i="108"/>
  <c r="V169" i="108"/>
  <c r="X169" i="108"/>
  <c r="Z169" i="108"/>
  <c r="R170" i="108"/>
  <c r="S170" i="108"/>
  <c r="W170" i="108"/>
  <c r="T170" i="108"/>
  <c r="Y170" i="108"/>
  <c r="V170" i="108"/>
  <c r="X170" i="108"/>
  <c r="Z170" i="108"/>
  <c r="R171" i="108"/>
  <c r="S171" i="108"/>
  <c r="W171" i="108"/>
  <c r="T171" i="108"/>
  <c r="Y171" i="108"/>
  <c r="V171" i="108"/>
  <c r="X171" i="108"/>
  <c r="Z171" i="108"/>
  <c r="R172" i="108"/>
  <c r="S172" i="108"/>
  <c r="W172" i="108"/>
  <c r="T172" i="108"/>
  <c r="Y172" i="108"/>
  <c r="V172" i="108"/>
  <c r="X172" i="108"/>
  <c r="Z172" i="108"/>
  <c r="R173" i="108"/>
  <c r="S173" i="108"/>
  <c r="W173" i="108"/>
  <c r="T173" i="108"/>
  <c r="Y173" i="108"/>
  <c r="V173" i="108"/>
  <c r="X173" i="108"/>
  <c r="Z173" i="108"/>
  <c r="R174" i="108"/>
  <c r="S174" i="108"/>
  <c r="W174" i="108"/>
  <c r="T174" i="108"/>
  <c r="Y174" i="108"/>
  <c r="V174" i="108"/>
  <c r="X174" i="108"/>
  <c r="Z174" i="108"/>
  <c r="R175" i="108"/>
  <c r="S175" i="108"/>
  <c r="W175" i="108"/>
  <c r="T175" i="108"/>
  <c r="Y175" i="108"/>
  <c r="V175" i="108"/>
  <c r="X175" i="108"/>
  <c r="Z175" i="108"/>
  <c r="R176" i="108"/>
  <c r="S176" i="108"/>
  <c r="W176" i="108"/>
  <c r="T176" i="108"/>
  <c r="Y176" i="108"/>
  <c r="V176" i="108"/>
  <c r="X176" i="108"/>
  <c r="Z176" i="108"/>
  <c r="R177" i="108"/>
  <c r="S177" i="108"/>
  <c r="W177" i="108"/>
  <c r="T177" i="108"/>
  <c r="Y177" i="108"/>
  <c r="V177" i="108"/>
  <c r="X177" i="108"/>
  <c r="Z177" i="108"/>
  <c r="R178" i="108"/>
  <c r="S178" i="108"/>
  <c r="W178" i="108"/>
  <c r="T178" i="108"/>
  <c r="Y178" i="108"/>
  <c r="V178" i="108"/>
  <c r="X178" i="108"/>
  <c r="Z178" i="108"/>
  <c r="R179" i="108"/>
  <c r="S179" i="108"/>
  <c r="W179" i="108"/>
  <c r="T179" i="108"/>
  <c r="Y179" i="108"/>
  <c r="V179" i="108"/>
  <c r="X179" i="108"/>
  <c r="Z179" i="108"/>
  <c r="R180" i="108"/>
  <c r="S180" i="108"/>
  <c r="W180" i="108"/>
  <c r="T180" i="108"/>
  <c r="Y180" i="108"/>
  <c r="V180" i="108"/>
  <c r="X180" i="108"/>
  <c r="Z180" i="108"/>
  <c r="R181" i="108"/>
  <c r="S181" i="108"/>
  <c r="W181" i="108"/>
  <c r="T181" i="108"/>
  <c r="Y181" i="108"/>
  <c r="V181" i="108"/>
  <c r="X181" i="108"/>
  <c r="Z181" i="108"/>
  <c r="R182" i="108"/>
  <c r="S182" i="108"/>
  <c r="W182" i="108"/>
  <c r="T182" i="108"/>
  <c r="Y182" i="108"/>
  <c r="V182" i="108"/>
  <c r="X182" i="108"/>
  <c r="Z182" i="108"/>
  <c r="R183" i="108"/>
  <c r="S183" i="108"/>
  <c r="W183" i="108"/>
  <c r="T183" i="108"/>
  <c r="Y183" i="108"/>
  <c r="V183" i="108"/>
  <c r="X183" i="108"/>
  <c r="Z183" i="108"/>
  <c r="R184" i="108"/>
  <c r="S184" i="108"/>
  <c r="W184" i="108"/>
  <c r="T184" i="108"/>
  <c r="Y184" i="108"/>
  <c r="V184" i="108"/>
  <c r="X184" i="108"/>
  <c r="Z184" i="108"/>
  <c r="R185" i="108"/>
  <c r="S185" i="108"/>
  <c r="W185" i="108"/>
  <c r="T185" i="108"/>
  <c r="Y185" i="108"/>
  <c r="V185" i="108"/>
  <c r="X185" i="108"/>
  <c r="Z185" i="108"/>
  <c r="R186" i="108"/>
  <c r="S186" i="108"/>
  <c r="W186" i="108"/>
  <c r="T186" i="108"/>
  <c r="Y186" i="108"/>
  <c r="V186" i="108"/>
  <c r="X186" i="108"/>
  <c r="Z186" i="108"/>
  <c r="R187" i="108"/>
  <c r="S187" i="108"/>
  <c r="W187" i="108"/>
  <c r="T187" i="108"/>
  <c r="Y187" i="108"/>
  <c r="V187" i="108"/>
  <c r="X187" i="108"/>
  <c r="Z187" i="108"/>
  <c r="R188" i="108"/>
  <c r="S188" i="108"/>
  <c r="W188" i="108"/>
  <c r="T188" i="108"/>
  <c r="Y188" i="108"/>
  <c r="V188" i="108"/>
  <c r="X188" i="108"/>
  <c r="Z188" i="108"/>
  <c r="R189" i="108"/>
  <c r="S189" i="108"/>
  <c r="W189" i="108"/>
  <c r="T189" i="108"/>
  <c r="Y189" i="108"/>
  <c r="V189" i="108"/>
  <c r="X189" i="108"/>
  <c r="Z189" i="108"/>
  <c r="R190" i="108"/>
  <c r="S190" i="108"/>
  <c r="W190" i="108"/>
  <c r="T190" i="108"/>
  <c r="Y190" i="108"/>
  <c r="V190" i="108"/>
  <c r="X190" i="108"/>
  <c r="Z190" i="108"/>
  <c r="R191" i="108"/>
  <c r="S191" i="108"/>
  <c r="W191" i="108"/>
  <c r="T191" i="108"/>
  <c r="Y191" i="108"/>
  <c r="V191" i="108"/>
  <c r="X191" i="108"/>
  <c r="Z191" i="108"/>
  <c r="R192" i="108"/>
  <c r="S192" i="108"/>
  <c r="W192" i="108"/>
  <c r="T192" i="108"/>
  <c r="Y192" i="108"/>
  <c r="V192" i="108"/>
  <c r="X192" i="108"/>
  <c r="Z192" i="108"/>
  <c r="R193" i="108"/>
  <c r="S193" i="108"/>
  <c r="W193" i="108"/>
  <c r="T193" i="108"/>
  <c r="Y193" i="108"/>
  <c r="V193" i="108"/>
  <c r="X193" i="108"/>
  <c r="Z193" i="108"/>
  <c r="R194" i="108"/>
  <c r="S194" i="108"/>
  <c r="W194" i="108"/>
  <c r="T194" i="108"/>
  <c r="Y194" i="108"/>
  <c r="V194" i="108"/>
  <c r="X194" i="108"/>
  <c r="Z194" i="108"/>
  <c r="R195" i="108"/>
  <c r="S195" i="108"/>
  <c r="W195" i="108"/>
  <c r="T195" i="108"/>
  <c r="Y195" i="108"/>
  <c r="V195" i="108"/>
  <c r="X195" i="108"/>
  <c r="Z195" i="108"/>
  <c r="R196" i="108"/>
  <c r="S196" i="108"/>
  <c r="W196" i="108"/>
  <c r="T196" i="108"/>
  <c r="Y196" i="108"/>
  <c r="V196" i="108"/>
  <c r="X196" i="108"/>
  <c r="Z196" i="108"/>
  <c r="R197" i="108"/>
  <c r="S197" i="108"/>
  <c r="W197" i="108"/>
  <c r="T197" i="108"/>
  <c r="Y197" i="108"/>
  <c r="V197" i="108"/>
  <c r="X197" i="108"/>
  <c r="Z197" i="108"/>
  <c r="R198" i="108"/>
  <c r="S198" i="108"/>
  <c r="W198" i="108"/>
  <c r="T198" i="108"/>
  <c r="Y198" i="108"/>
  <c r="V198" i="108"/>
  <c r="X198" i="108"/>
  <c r="Z198" i="108"/>
  <c r="R199" i="108"/>
  <c r="S199" i="108"/>
  <c r="W199" i="108"/>
  <c r="T199" i="108"/>
  <c r="Y199" i="108"/>
  <c r="V199" i="108"/>
  <c r="X199" i="108"/>
  <c r="Z199" i="108"/>
  <c r="R200" i="108"/>
  <c r="S200" i="108"/>
  <c r="W200" i="108"/>
  <c r="T200" i="108"/>
  <c r="Y200" i="108"/>
  <c r="V200" i="108"/>
  <c r="X200" i="108"/>
  <c r="Z200" i="108"/>
  <c r="R201" i="108"/>
  <c r="S201" i="108"/>
  <c r="W201" i="108"/>
  <c r="T201" i="108"/>
  <c r="Y201" i="108"/>
  <c r="V201" i="108"/>
  <c r="X201" i="108"/>
  <c r="Z201" i="108"/>
  <c r="R202" i="108"/>
  <c r="S202" i="108"/>
  <c r="W202" i="108"/>
  <c r="T202" i="108"/>
  <c r="Y202" i="108"/>
  <c r="V202" i="108"/>
  <c r="X202" i="108"/>
  <c r="Z202" i="108"/>
  <c r="R203" i="108"/>
  <c r="S203" i="108"/>
  <c r="W203" i="108"/>
  <c r="T203" i="108"/>
  <c r="Y203" i="108"/>
  <c r="V203" i="108"/>
  <c r="X203" i="108"/>
  <c r="Z203" i="108"/>
  <c r="R204" i="108"/>
  <c r="S204" i="108"/>
  <c r="W204" i="108"/>
  <c r="T204" i="108"/>
  <c r="Y204" i="108"/>
  <c r="V204" i="108"/>
  <c r="X204" i="108"/>
  <c r="Z204" i="108"/>
  <c r="R205" i="108"/>
  <c r="S205" i="108"/>
  <c r="W205" i="108"/>
  <c r="T205" i="108"/>
  <c r="Y205" i="108"/>
  <c r="V205" i="108"/>
  <c r="X205" i="108"/>
  <c r="Z205" i="108"/>
  <c r="R206" i="108"/>
  <c r="S206" i="108"/>
  <c r="W206" i="108"/>
  <c r="T206" i="108"/>
  <c r="Y206" i="108"/>
  <c r="V206" i="108"/>
  <c r="X206" i="108"/>
  <c r="Z206" i="108"/>
  <c r="R207" i="108"/>
  <c r="S207" i="108"/>
  <c r="W207" i="108"/>
  <c r="T207" i="108"/>
  <c r="Y207" i="108"/>
  <c r="V207" i="108"/>
  <c r="X207" i="108"/>
  <c r="Z207" i="108"/>
  <c r="R208" i="108"/>
  <c r="S208" i="108"/>
  <c r="W208" i="108"/>
  <c r="T208" i="108"/>
  <c r="Y208" i="108"/>
  <c r="V208" i="108"/>
  <c r="X208" i="108"/>
  <c r="Z208" i="108"/>
  <c r="R209" i="108"/>
  <c r="S209" i="108"/>
  <c r="W209" i="108"/>
  <c r="T209" i="108"/>
  <c r="Y209" i="108"/>
  <c r="V209" i="108"/>
  <c r="X209" i="108"/>
  <c r="Z209" i="108"/>
  <c r="R210" i="108"/>
  <c r="S210" i="108"/>
  <c r="W210" i="108"/>
  <c r="T210" i="108"/>
  <c r="Y210" i="108"/>
  <c r="V210" i="108"/>
  <c r="X210" i="108"/>
  <c r="Z210" i="108"/>
  <c r="R211" i="108"/>
  <c r="S211" i="108"/>
  <c r="W211" i="108"/>
  <c r="T211" i="108"/>
  <c r="Y211" i="108"/>
  <c r="V211" i="108"/>
  <c r="X211" i="108"/>
  <c r="Z211" i="108"/>
  <c r="R212" i="108"/>
  <c r="S212" i="108"/>
  <c r="W212" i="108"/>
  <c r="T212" i="108"/>
  <c r="Y212" i="108"/>
  <c r="V212" i="108"/>
  <c r="X212" i="108"/>
  <c r="Z212" i="108"/>
  <c r="R213" i="108"/>
  <c r="S213" i="108"/>
  <c r="W213" i="108"/>
  <c r="T213" i="108"/>
  <c r="Y213" i="108"/>
  <c r="V213" i="108"/>
  <c r="X213" i="108"/>
  <c r="Z213" i="108"/>
  <c r="R214" i="108"/>
  <c r="S214" i="108"/>
  <c r="W214" i="108"/>
  <c r="T214" i="108"/>
  <c r="Y214" i="108"/>
  <c r="V214" i="108"/>
  <c r="X214" i="108"/>
  <c r="Z214" i="108"/>
  <c r="R215" i="108"/>
  <c r="S215" i="108"/>
  <c r="W215" i="108"/>
  <c r="T215" i="108"/>
  <c r="Y215" i="108"/>
  <c r="V215" i="108"/>
  <c r="X215" i="108"/>
  <c r="Z215" i="108"/>
  <c r="R216" i="108"/>
  <c r="S216" i="108"/>
  <c r="W216" i="108"/>
  <c r="T216" i="108"/>
  <c r="Y216" i="108"/>
  <c r="V216" i="108"/>
  <c r="X216" i="108"/>
  <c r="Z216" i="108"/>
  <c r="R217" i="108"/>
  <c r="S217" i="108"/>
  <c r="W217" i="108"/>
  <c r="T217" i="108"/>
  <c r="Y217" i="108"/>
  <c r="V217" i="108"/>
  <c r="X217" i="108"/>
  <c r="Z217" i="108"/>
  <c r="R218" i="108"/>
  <c r="S218" i="108"/>
  <c r="W218" i="108"/>
  <c r="T218" i="108"/>
  <c r="Y218" i="108"/>
  <c r="V218" i="108"/>
  <c r="X218" i="108"/>
  <c r="Z218" i="108"/>
  <c r="R219" i="108"/>
  <c r="S219" i="108"/>
  <c r="W219" i="108"/>
  <c r="T219" i="108"/>
  <c r="Y219" i="108"/>
  <c r="V219" i="108"/>
  <c r="X219" i="108"/>
  <c r="Z219" i="108"/>
  <c r="R220" i="108"/>
  <c r="S220" i="108"/>
  <c r="W220" i="108"/>
  <c r="T220" i="108"/>
  <c r="Y220" i="108"/>
  <c r="V220" i="108"/>
  <c r="X220" i="108"/>
  <c r="Z220" i="108"/>
  <c r="R221" i="108"/>
  <c r="S221" i="108"/>
  <c r="W221" i="108"/>
  <c r="T221" i="108"/>
  <c r="Y221" i="108"/>
  <c r="V221" i="108"/>
  <c r="X221" i="108"/>
  <c r="Z221" i="108"/>
  <c r="R222" i="108"/>
  <c r="S222" i="108"/>
  <c r="W222" i="108"/>
  <c r="T222" i="108"/>
  <c r="Y222" i="108"/>
  <c r="V222" i="108"/>
  <c r="X222" i="108"/>
  <c r="Z222" i="108"/>
  <c r="R223" i="108"/>
  <c r="S223" i="108"/>
  <c r="W223" i="108"/>
  <c r="T223" i="108"/>
  <c r="Y223" i="108"/>
  <c r="V223" i="108"/>
  <c r="X223" i="108"/>
  <c r="Z223" i="108"/>
  <c r="R224" i="108"/>
  <c r="S224" i="108"/>
  <c r="W224" i="108"/>
  <c r="T224" i="108"/>
  <c r="Y224" i="108"/>
  <c r="V224" i="108"/>
  <c r="X224" i="108"/>
  <c r="Z224" i="108"/>
  <c r="R225" i="108"/>
  <c r="S225" i="108"/>
  <c r="W225" i="108"/>
  <c r="T225" i="108"/>
  <c r="Y225" i="108"/>
  <c r="V225" i="108"/>
  <c r="X225" i="108"/>
  <c r="Z225" i="108"/>
  <c r="R226" i="108"/>
  <c r="S226" i="108"/>
  <c r="W226" i="108"/>
  <c r="T226" i="108"/>
  <c r="Y226" i="108"/>
  <c r="V226" i="108"/>
  <c r="X226" i="108"/>
  <c r="Z226" i="108"/>
  <c r="R227" i="108"/>
  <c r="S227" i="108"/>
  <c r="W227" i="108"/>
  <c r="T227" i="108"/>
  <c r="Y227" i="108"/>
  <c r="V227" i="108"/>
  <c r="X227" i="108"/>
  <c r="Z227" i="108"/>
  <c r="R228" i="108"/>
  <c r="S228" i="108"/>
  <c r="W228" i="108"/>
  <c r="T228" i="108"/>
  <c r="Y228" i="108"/>
  <c r="V228" i="108"/>
  <c r="X228" i="108"/>
  <c r="Z228" i="108"/>
  <c r="R229" i="108"/>
  <c r="S229" i="108"/>
  <c r="W229" i="108"/>
  <c r="T229" i="108"/>
  <c r="Y229" i="108"/>
  <c r="V229" i="108"/>
  <c r="X229" i="108"/>
  <c r="Z229" i="108"/>
  <c r="R230" i="108"/>
  <c r="S230" i="108"/>
  <c r="W230" i="108"/>
  <c r="T230" i="108"/>
  <c r="Y230" i="108"/>
  <c r="V230" i="108"/>
  <c r="X230" i="108"/>
  <c r="Z230" i="108"/>
  <c r="R231" i="108"/>
  <c r="S231" i="108"/>
  <c r="W231" i="108"/>
  <c r="T231" i="108"/>
  <c r="Y231" i="108"/>
  <c r="V231" i="108"/>
  <c r="X231" i="108"/>
  <c r="Z231" i="108"/>
  <c r="R232" i="108"/>
  <c r="S232" i="108"/>
  <c r="W232" i="108"/>
  <c r="T232" i="108"/>
  <c r="Y232" i="108"/>
  <c r="V232" i="108"/>
  <c r="X232" i="108"/>
  <c r="Z232" i="108"/>
  <c r="R233" i="108"/>
  <c r="S233" i="108"/>
  <c r="W233" i="108"/>
  <c r="T233" i="108"/>
  <c r="Y233" i="108"/>
  <c r="V233" i="108"/>
  <c r="X233" i="108"/>
  <c r="Z233" i="108"/>
  <c r="R234" i="108"/>
  <c r="S234" i="108"/>
  <c r="W234" i="108"/>
  <c r="T234" i="108"/>
  <c r="Y234" i="108"/>
  <c r="V234" i="108"/>
  <c r="X234" i="108"/>
  <c r="Z234" i="108"/>
  <c r="R235" i="108"/>
  <c r="S235" i="108"/>
  <c r="W235" i="108"/>
  <c r="T235" i="108"/>
  <c r="Y235" i="108"/>
  <c r="V235" i="108"/>
  <c r="X235" i="108"/>
  <c r="Z235" i="108"/>
  <c r="R236" i="108"/>
  <c r="S236" i="108"/>
  <c r="W236" i="108"/>
  <c r="T236" i="108"/>
  <c r="Y236" i="108"/>
  <c r="V236" i="108"/>
  <c r="X236" i="108"/>
  <c r="Z236" i="108"/>
  <c r="R237" i="108"/>
  <c r="S237" i="108"/>
  <c r="W237" i="108"/>
  <c r="T237" i="108"/>
  <c r="Y237" i="108"/>
  <c r="V237" i="108"/>
  <c r="X237" i="108"/>
  <c r="Z237" i="108"/>
  <c r="R238" i="108"/>
  <c r="S238" i="108"/>
  <c r="W238" i="108"/>
  <c r="T238" i="108"/>
  <c r="Y238" i="108"/>
  <c r="V238" i="108"/>
  <c r="X238" i="108"/>
  <c r="Z238" i="108"/>
  <c r="R239" i="108"/>
  <c r="S239" i="108"/>
  <c r="W239" i="108"/>
  <c r="T239" i="108"/>
  <c r="Y239" i="108"/>
  <c r="V239" i="108"/>
  <c r="X239" i="108"/>
  <c r="Z239" i="108"/>
  <c r="R240" i="108"/>
  <c r="S240" i="108"/>
  <c r="W240" i="108"/>
  <c r="T240" i="108"/>
  <c r="Y240" i="108"/>
  <c r="V240" i="108"/>
  <c r="X240" i="108"/>
  <c r="Z240" i="108"/>
  <c r="R241" i="108"/>
  <c r="S241" i="108"/>
  <c r="W241" i="108"/>
  <c r="T241" i="108"/>
  <c r="Y241" i="108"/>
  <c r="V241" i="108"/>
  <c r="X241" i="108"/>
  <c r="Z241" i="108"/>
  <c r="R242" i="108"/>
  <c r="S242" i="108"/>
  <c r="W242" i="108"/>
  <c r="T242" i="108"/>
  <c r="Y242" i="108"/>
  <c r="V242" i="108"/>
  <c r="X242" i="108"/>
  <c r="Z242" i="108"/>
  <c r="R243" i="108"/>
  <c r="S243" i="108"/>
  <c r="W243" i="108"/>
  <c r="T243" i="108"/>
  <c r="Y243" i="108"/>
  <c r="V243" i="108"/>
  <c r="X243" i="108"/>
  <c r="Z243" i="108"/>
  <c r="R244" i="108"/>
  <c r="S244" i="108"/>
  <c r="W244" i="108"/>
  <c r="T244" i="108"/>
  <c r="Y244" i="108"/>
  <c r="V244" i="108"/>
  <c r="X244" i="108"/>
  <c r="Z244" i="108"/>
  <c r="R245" i="108"/>
  <c r="S245" i="108"/>
  <c r="W245" i="108"/>
  <c r="T245" i="108"/>
  <c r="Y245" i="108"/>
  <c r="V245" i="108"/>
  <c r="X245" i="108"/>
  <c r="Z245" i="108"/>
  <c r="R246" i="108"/>
  <c r="S246" i="108"/>
  <c r="W246" i="108"/>
  <c r="T246" i="108"/>
  <c r="Y246" i="108"/>
  <c r="V246" i="108"/>
  <c r="X246" i="108"/>
  <c r="Z246" i="108"/>
  <c r="R247" i="108"/>
  <c r="S247" i="108"/>
  <c r="W247" i="108"/>
  <c r="T247" i="108"/>
  <c r="Y247" i="108"/>
  <c r="V247" i="108"/>
  <c r="X247" i="108"/>
  <c r="Z247" i="108"/>
  <c r="R248" i="108"/>
  <c r="S248" i="108"/>
  <c r="W248" i="108"/>
  <c r="T248" i="108"/>
  <c r="Y248" i="108"/>
  <c r="V248" i="108"/>
  <c r="X248" i="108"/>
  <c r="Z248" i="108"/>
  <c r="R249" i="108"/>
  <c r="S249" i="108"/>
  <c r="W249" i="108"/>
  <c r="T249" i="108"/>
  <c r="Y249" i="108"/>
  <c r="V249" i="108"/>
  <c r="X249" i="108"/>
  <c r="Z249" i="108"/>
  <c r="R250" i="108"/>
  <c r="S250" i="108"/>
  <c r="W250" i="108"/>
  <c r="T250" i="108"/>
  <c r="Y250" i="108"/>
  <c r="V250" i="108"/>
  <c r="X250" i="108"/>
  <c r="Z250" i="108"/>
  <c r="R251" i="108"/>
  <c r="S251" i="108"/>
  <c r="W251" i="108"/>
  <c r="T251" i="108"/>
  <c r="Y251" i="108"/>
  <c r="V251" i="108"/>
  <c r="X251" i="108"/>
  <c r="Z251" i="108"/>
  <c r="R252" i="108"/>
  <c r="S252" i="108"/>
  <c r="W252" i="108"/>
  <c r="T252" i="108"/>
  <c r="Y252" i="108"/>
  <c r="V252" i="108"/>
  <c r="X252" i="108"/>
  <c r="Z252" i="108"/>
  <c r="R253" i="108"/>
  <c r="S253" i="108"/>
  <c r="W253" i="108"/>
  <c r="T253" i="108"/>
  <c r="Y253" i="108"/>
  <c r="V253" i="108"/>
  <c r="X253" i="108"/>
  <c r="Z253" i="108"/>
  <c r="R254" i="108"/>
  <c r="S254" i="108"/>
  <c r="W254" i="108"/>
  <c r="T254" i="108"/>
  <c r="Y254" i="108"/>
  <c r="V254" i="108"/>
  <c r="X254" i="108"/>
  <c r="Z254" i="108"/>
  <c r="R256" i="108"/>
  <c r="S256" i="108"/>
  <c r="W256" i="108"/>
  <c r="T256" i="108"/>
  <c r="Y256" i="108"/>
  <c r="V256" i="108"/>
  <c r="X256" i="108"/>
  <c r="Z256" i="108"/>
  <c r="R258" i="108"/>
  <c r="S258" i="108"/>
  <c r="W258" i="108"/>
  <c r="T258" i="108"/>
  <c r="Y258" i="108"/>
  <c r="V258" i="108"/>
  <c r="X258" i="108"/>
  <c r="Z258" i="108"/>
  <c r="R259" i="108"/>
  <c r="S259" i="108"/>
  <c r="W259" i="108"/>
  <c r="T259" i="108"/>
  <c r="Y259" i="108"/>
  <c r="V259" i="108"/>
  <c r="X259" i="108"/>
  <c r="Z259" i="108"/>
  <c r="R260" i="108"/>
  <c r="S260" i="108"/>
  <c r="W260" i="108"/>
  <c r="T260" i="108"/>
  <c r="Y260" i="108"/>
  <c r="V260" i="108"/>
  <c r="X260" i="108"/>
  <c r="Z260" i="108"/>
  <c r="R261" i="108"/>
  <c r="S261" i="108"/>
  <c r="W261" i="108"/>
  <c r="T261" i="108"/>
  <c r="Y261" i="108"/>
  <c r="V261" i="108"/>
  <c r="X261" i="108"/>
  <c r="Z261" i="108"/>
  <c r="R262" i="108"/>
  <c r="S262" i="108"/>
  <c r="W262" i="108"/>
  <c r="T262" i="108"/>
  <c r="Y262" i="108"/>
  <c r="V262" i="108"/>
  <c r="X262" i="108"/>
  <c r="Z262" i="108"/>
  <c r="R263" i="108"/>
  <c r="S263" i="108"/>
  <c r="W263" i="108"/>
  <c r="T263" i="108"/>
  <c r="Y263" i="108"/>
  <c r="V263" i="108"/>
  <c r="X263" i="108"/>
  <c r="Z263" i="108"/>
  <c r="R264" i="108"/>
  <c r="S264" i="108"/>
  <c r="W264" i="108"/>
  <c r="T264" i="108"/>
  <c r="Y264" i="108"/>
  <c r="V264" i="108"/>
  <c r="X264" i="108"/>
  <c r="Z264" i="108"/>
  <c r="R265" i="108"/>
  <c r="S265" i="108"/>
  <c r="W265" i="108"/>
  <c r="T265" i="108"/>
  <c r="Y265" i="108"/>
  <c r="V265" i="108"/>
  <c r="X265" i="108"/>
  <c r="Z265" i="108"/>
  <c r="R266" i="108"/>
  <c r="S266" i="108"/>
  <c r="W266" i="108"/>
  <c r="T266" i="108"/>
  <c r="Y266" i="108"/>
  <c r="V266" i="108"/>
  <c r="X266" i="108"/>
  <c r="Z266" i="108"/>
  <c r="R267" i="108"/>
  <c r="S267" i="108"/>
  <c r="W267" i="108"/>
  <c r="T267" i="108"/>
  <c r="Y267" i="108"/>
  <c r="V267" i="108"/>
  <c r="X267" i="108"/>
  <c r="Z267" i="108"/>
  <c r="R268" i="108"/>
  <c r="S268" i="108"/>
  <c r="W268" i="108"/>
  <c r="T268" i="108"/>
  <c r="Y268" i="108"/>
  <c r="V268" i="108"/>
  <c r="X268" i="108"/>
  <c r="Z268" i="108"/>
  <c r="R269" i="108"/>
  <c r="S269" i="108"/>
  <c r="W269" i="108"/>
  <c r="T269" i="108"/>
  <c r="Y269" i="108"/>
  <c r="V269" i="108"/>
  <c r="X269" i="108"/>
  <c r="Z269" i="108"/>
  <c r="R270" i="108"/>
  <c r="S270" i="108"/>
  <c r="W270" i="108"/>
  <c r="T270" i="108"/>
  <c r="Y270" i="108"/>
  <c r="V270" i="108"/>
  <c r="X270" i="108"/>
  <c r="Z270" i="108"/>
  <c r="R271" i="108"/>
  <c r="S271" i="108"/>
  <c r="W271" i="108"/>
  <c r="T271" i="108"/>
  <c r="Y271" i="108"/>
  <c r="V271" i="108"/>
  <c r="X271" i="108"/>
  <c r="Z271" i="108"/>
  <c r="R272" i="108"/>
  <c r="S272" i="108"/>
  <c r="W272" i="108"/>
  <c r="T272" i="108"/>
  <c r="Y272" i="108"/>
  <c r="V272" i="108"/>
  <c r="X272" i="108"/>
  <c r="Z272" i="108"/>
  <c r="R273" i="108"/>
  <c r="S273" i="108"/>
  <c r="W273" i="108"/>
  <c r="T273" i="108"/>
  <c r="Y273" i="108"/>
  <c r="V273" i="108"/>
  <c r="X273" i="108"/>
  <c r="Z273" i="108"/>
  <c r="R274" i="108"/>
  <c r="S274" i="108"/>
  <c r="W274" i="108"/>
  <c r="T274" i="108"/>
  <c r="Y274" i="108"/>
  <c r="V274" i="108"/>
  <c r="X274" i="108"/>
  <c r="Z274" i="108"/>
  <c r="R275" i="108"/>
  <c r="S275" i="108"/>
  <c r="W275" i="108"/>
  <c r="T275" i="108"/>
  <c r="Y275" i="108"/>
  <c r="V275" i="108"/>
  <c r="X275" i="108"/>
  <c r="Z275" i="108"/>
  <c r="R276" i="108"/>
  <c r="S276" i="108"/>
  <c r="W276" i="108"/>
  <c r="T276" i="108"/>
  <c r="Y276" i="108"/>
  <c r="V276" i="108"/>
  <c r="X276" i="108"/>
  <c r="Z276" i="108"/>
  <c r="R277" i="108"/>
  <c r="S277" i="108"/>
  <c r="W277" i="108"/>
  <c r="T277" i="108"/>
  <c r="Y277" i="108"/>
  <c r="V277" i="108"/>
  <c r="X277" i="108"/>
  <c r="Z277" i="108"/>
  <c r="R278" i="108"/>
  <c r="S278" i="108"/>
  <c r="W278" i="108"/>
  <c r="T278" i="108"/>
  <c r="Y278" i="108"/>
  <c r="V278" i="108"/>
  <c r="X278" i="108"/>
  <c r="Z278" i="108"/>
  <c r="R279" i="108"/>
  <c r="S279" i="108"/>
  <c r="W279" i="108"/>
  <c r="T279" i="108"/>
  <c r="Y279" i="108"/>
  <c r="V279" i="108"/>
  <c r="X279" i="108"/>
  <c r="Z279" i="108"/>
  <c r="R280" i="108"/>
  <c r="S280" i="108"/>
  <c r="W280" i="108"/>
  <c r="T280" i="108"/>
  <c r="Y280" i="108"/>
  <c r="V280" i="108"/>
  <c r="X280" i="108"/>
  <c r="Z280" i="108"/>
  <c r="R281" i="108"/>
  <c r="S281" i="108"/>
  <c r="W281" i="108"/>
  <c r="T281" i="108"/>
  <c r="Y281" i="108"/>
  <c r="V281" i="108"/>
  <c r="X281" i="108"/>
  <c r="Z281" i="108"/>
  <c r="R282" i="108"/>
  <c r="S282" i="108"/>
  <c r="W282" i="108"/>
  <c r="T282" i="108"/>
  <c r="Y282" i="108"/>
  <c r="V282" i="108"/>
  <c r="X282" i="108"/>
  <c r="Z282" i="108"/>
  <c r="R283" i="108"/>
  <c r="S283" i="108"/>
  <c r="W283" i="108"/>
  <c r="T283" i="108"/>
  <c r="Y283" i="108"/>
  <c r="V283" i="108"/>
  <c r="X283" i="108"/>
  <c r="Z283" i="108"/>
  <c r="R284" i="108"/>
  <c r="S284" i="108"/>
  <c r="W284" i="108"/>
  <c r="T284" i="108"/>
  <c r="Y284" i="108"/>
  <c r="V284" i="108"/>
  <c r="X284" i="108"/>
  <c r="Z284" i="108"/>
  <c r="R285" i="108"/>
  <c r="S285" i="108"/>
  <c r="W285" i="108"/>
  <c r="T285" i="108"/>
  <c r="Y285" i="108"/>
  <c r="V285" i="108"/>
  <c r="X285" i="108"/>
  <c r="Z285" i="108"/>
  <c r="R286" i="108"/>
  <c r="S286" i="108"/>
  <c r="W286" i="108"/>
  <c r="T286" i="108"/>
  <c r="Y286" i="108"/>
  <c r="V286" i="108"/>
  <c r="X286" i="108"/>
  <c r="Z286" i="108"/>
  <c r="R287" i="108"/>
  <c r="S287" i="108"/>
  <c r="W287" i="108"/>
  <c r="T287" i="108"/>
  <c r="Y287" i="108"/>
  <c r="V287" i="108"/>
  <c r="X287" i="108"/>
  <c r="Z287" i="108"/>
  <c r="R288" i="108"/>
  <c r="S288" i="108"/>
  <c r="W288" i="108"/>
  <c r="T288" i="108"/>
  <c r="Y288" i="108"/>
  <c r="V288" i="108"/>
  <c r="X288" i="108"/>
  <c r="Z288" i="108"/>
  <c r="R289" i="108"/>
  <c r="S289" i="108"/>
  <c r="W289" i="108"/>
  <c r="T289" i="108"/>
  <c r="Y289" i="108"/>
  <c r="V289" i="108"/>
  <c r="X289" i="108"/>
  <c r="Z289" i="108"/>
  <c r="R290" i="108"/>
  <c r="S290" i="108"/>
  <c r="W290" i="108"/>
  <c r="T290" i="108"/>
  <c r="Y290" i="108"/>
  <c r="V290" i="108"/>
  <c r="X290" i="108"/>
  <c r="Z290" i="108"/>
  <c r="R291" i="108"/>
  <c r="S291" i="108"/>
  <c r="W291" i="108"/>
  <c r="T291" i="108"/>
  <c r="Y291" i="108"/>
  <c r="V291" i="108"/>
  <c r="X291" i="108"/>
  <c r="Z291" i="108"/>
  <c r="R292" i="108"/>
  <c r="S292" i="108"/>
  <c r="W292" i="108"/>
  <c r="T292" i="108"/>
  <c r="Y292" i="108"/>
  <c r="V292" i="108"/>
  <c r="X292" i="108"/>
  <c r="Z292" i="108"/>
  <c r="R293" i="108"/>
  <c r="S293" i="108"/>
  <c r="W293" i="108"/>
  <c r="T293" i="108"/>
  <c r="Y293" i="108"/>
  <c r="V293" i="108"/>
  <c r="X293" i="108"/>
  <c r="Z293" i="108"/>
  <c r="R294" i="108"/>
  <c r="S294" i="108"/>
  <c r="W294" i="108"/>
  <c r="T294" i="108"/>
  <c r="Y294" i="108"/>
  <c r="V294" i="108"/>
  <c r="X294" i="108"/>
  <c r="Z294" i="108"/>
  <c r="R295" i="108"/>
  <c r="S295" i="108"/>
  <c r="W295" i="108"/>
  <c r="T295" i="108"/>
  <c r="Y295" i="108"/>
  <c r="V295" i="108"/>
  <c r="X295" i="108"/>
  <c r="Z295" i="108"/>
  <c r="R296" i="108"/>
  <c r="S296" i="108"/>
  <c r="W296" i="108"/>
  <c r="T296" i="108"/>
  <c r="Y296" i="108"/>
  <c r="V296" i="108"/>
  <c r="X296" i="108"/>
  <c r="Z296" i="108"/>
  <c r="R297" i="108"/>
  <c r="S297" i="108"/>
  <c r="W297" i="108"/>
  <c r="T297" i="108"/>
  <c r="Y297" i="108"/>
  <c r="V297" i="108"/>
  <c r="X297" i="108"/>
  <c r="Z297" i="108"/>
  <c r="R298" i="108"/>
  <c r="S298" i="108"/>
  <c r="W298" i="108"/>
  <c r="T298" i="108"/>
  <c r="Y298" i="108"/>
  <c r="V298" i="108"/>
  <c r="X298" i="108"/>
  <c r="Z298" i="108"/>
  <c r="R299" i="108"/>
  <c r="S299" i="108"/>
  <c r="W299" i="108"/>
  <c r="T299" i="108"/>
  <c r="Y299" i="108"/>
  <c r="V299" i="108"/>
  <c r="X299" i="108"/>
  <c r="Z299" i="108"/>
  <c r="R300" i="108"/>
  <c r="S300" i="108"/>
  <c r="W300" i="108"/>
  <c r="T300" i="108"/>
  <c r="Y300" i="108"/>
  <c r="V300" i="108"/>
  <c r="X300" i="108"/>
  <c r="Z300" i="108"/>
  <c r="R301" i="108"/>
  <c r="S301" i="108"/>
  <c r="W301" i="108"/>
  <c r="T301" i="108"/>
  <c r="Y301" i="108"/>
  <c r="V301" i="108"/>
  <c r="X301" i="108"/>
  <c r="Z301" i="108"/>
  <c r="R302" i="108"/>
  <c r="S302" i="108"/>
  <c r="W302" i="108"/>
  <c r="T302" i="108"/>
  <c r="Y302" i="108"/>
  <c r="V302" i="108"/>
  <c r="X302" i="108"/>
  <c r="Z302" i="108"/>
  <c r="R303" i="108"/>
  <c r="S303" i="108"/>
  <c r="W303" i="108"/>
  <c r="T303" i="108"/>
  <c r="Y303" i="108"/>
  <c r="V303" i="108"/>
  <c r="X303" i="108"/>
  <c r="Z303" i="108"/>
  <c r="R304" i="108"/>
  <c r="S304" i="108"/>
  <c r="W304" i="108"/>
  <c r="T304" i="108"/>
  <c r="Y304" i="108"/>
  <c r="V304" i="108"/>
  <c r="X304" i="108"/>
  <c r="Z304" i="108"/>
  <c r="R305" i="108"/>
  <c r="S305" i="108"/>
  <c r="W305" i="108"/>
  <c r="T305" i="108"/>
  <c r="Y305" i="108"/>
  <c r="V305" i="108"/>
  <c r="X305" i="108"/>
  <c r="Z305" i="108"/>
  <c r="R306" i="108"/>
  <c r="S306" i="108"/>
  <c r="W306" i="108"/>
  <c r="T306" i="108"/>
  <c r="Y306" i="108"/>
  <c r="V306" i="108"/>
  <c r="X306" i="108"/>
  <c r="Z306" i="108"/>
  <c r="R309" i="108"/>
  <c r="S309" i="108"/>
  <c r="W309" i="108"/>
  <c r="T309" i="108"/>
  <c r="Y309" i="108"/>
  <c r="V309" i="108"/>
  <c r="X309" i="108"/>
  <c r="Z309" i="108"/>
  <c r="R310" i="108"/>
  <c r="S310" i="108"/>
  <c r="W310" i="108"/>
  <c r="T310" i="108"/>
  <c r="Y310" i="108"/>
  <c r="V310" i="108"/>
  <c r="X310" i="108"/>
  <c r="Z310" i="108"/>
  <c r="R311" i="108"/>
  <c r="S311" i="108"/>
  <c r="W311" i="108"/>
  <c r="T311" i="108"/>
  <c r="Y311" i="108"/>
  <c r="V311" i="108"/>
  <c r="X311" i="108"/>
  <c r="Z311" i="108"/>
  <c r="R312" i="108"/>
  <c r="S312" i="108"/>
  <c r="W312" i="108"/>
  <c r="T312" i="108"/>
  <c r="Y312" i="108"/>
  <c r="V312" i="108"/>
  <c r="X312" i="108"/>
  <c r="Z312" i="108"/>
  <c r="V9" i="108"/>
  <c r="X9" i="108"/>
  <c r="Z9" i="108"/>
  <c r="R313" i="108"/>
  <c r="S313" i="108"/>
  <c r="W313" i="108"/>
  <c r="T313" i="108"/>
  <c r="Y313" i="108"/>
  <c r="V313" i="108"/>
  <c r="X313" i="108"/>
  <c r="Z313" i="108"/>
  <c r="R314" i="108"/>
  <c r="S314" i="108"/>
  <c r="W314" i="108"/>
  <c r="T314" i="108"/>
  <c r="Y314" i="108"/>
  <c r="V314" i="108"/>
  <c r="X314" i="108"/>
  <c r="Z314" i="108"/>
  <c r="R315" i="108"/>
  <c r="S315" i="108"/>
  <c r="W315" i="108"/>
  <c r="T315" i="108"/>
  <c r="Y315" i="108"/>
  <c r="V315" i="108"/>
  <c r="X315" i="108"/>
  <c r="Z315" i="108"/>
  <c r="R316" i="108"/>
  <c r="S316" i="108"/>
  <c r="W316" i="108"/>
  <c r="T316" i="108"/>
  <c r="Y316" i="108"/>
  <c r="V316" i="108"/>
  <c r="X316" i="108"/>
  <c r="Z316" i="108"/>
  <c r="R317" i="108"/>
  <c r="S317" i="108"/>
  <c r="W317" i="108"/>
  <c r="T317" i="108"/>
  <c r="Y317" i="108"/>
  <c r="V317" i="108"/>
  <c r="X317" i="108"/>
  <c r="Z317" i="108"/>
  <c r="R318" i="108"/>
  <c r="S318" i="108"/>
  <c r="W318" i="108"/>
  <c r="T318" i="108"/>
  <c r="Y318" i="108"/>
  <c r="V318" i="108"/>
  <c r="X318" i="108"/>
  <c r="Z318" i="108"/>
  <c r="R319" i="108"/>
  <c r="S319" i="108"/>
  <c r="W319" i="108"/>
  <c r="T319" i="108"/>
  <c r="Y319" i="108"/>
  <c r="V319" i="108"/>
  <c r="X319" i="108"/>
  <c r="Z319" i="108"/>
  <c r="R320" i="108"/>
  <c r="S320" i="108"/>
  <c r="W320" i="108"/>
  <c r="T320" i="108"/>
  <c r="Y320" i="108"/>
  <c r="V320" i="108"/>
  <c r="X320" i="108"/>
  <c r="Z320" i="108"/>
  <c r="R321" i="108"/>
  <c r="S321" i="108"/>
  <c r="W321" i="108"/>
  <c r="T321" i="108"/>
  <c r="Y321" i="108"/>
  <c r="V321" i="108"/>
  <c r="X321" i="108"/>
  <c r="Z321" i="108"/>
  <c r="R322" i="108"/>
  <c r="S322" i="108"/>
  <c r="W322" i="108"/>
  <c r="T322" i="108"/>
  <c r="Y322" i="108"/>
  <c r="V322" i="108"/>
  <c r="X322" i="108"/>
  <c r="Z322" i="108"/>
  <c r="R323" i="108"/>
  <c r="S323" i="108"/>
  <c r="W323" i="108"/>
  <c r="T323" i="108"/>
  <c r="Y323" i="108"/>
  <c r="V323" i="108"/>
  <c r="X323" i="108"/>
  <c r="Z323" i="108"/>
  <c r="R324" i="108"/>
  <c r="S324" i="108"/>
  <c r="W324" i="108"/>
  <c r="T324" i="108"/>
  <c r="Y324" i="108"/>
  <c r="V324" i="108"/>
  <c r="X324" i="108"/>
  <c r="Z324" i="108"/>
  <c r="R325" i="108"/>
  <c r="S325" i="108"/>
  <c r="W325" i="108"/>
  <c r="T325" i="108"/>
  <c r="Y325" i="108"/>
  <c r="V325" i="108"/>
  <c r="X325" i="108"/>
  <c r="Z325" i="108"/>
  <c r="R326" i="108"/>
  <c r="S326" i="108"/>
  <c r="W326" i="108"/>
  <c r="T326" i="108"/>
  <c r="Y326" i="108"/>
  <c r="V326" i="108"/>
  <c r="X326" i="108"/>
  <c r="Z326" i="108"/>
  <c r="R327" i="108"/>
  <c r="S327" i="108"/>
  <c r="W327" i="108"/>
  <c r="T327" i="108"/>
  <c r="Y327" i="108"/>
  <c r="V327" i="108"/>
  <c r="X327" i="108"/>
  <c r="Z327" i="108"/>
  <c r="R328" i="108"/>
  <c r="S328" i="108"/>
  <c r="W328" i="108"/>
  <c r="T328" i="108"/>
  <c r="Y328" i="108"/>
  <c r="V328" i="108"/>
  <c r="X328" i="108"/>
  <c r="Z328" i="108"/>
  <c r="R329" i="108"/>
  <c r="S329" i="108"/>
  <c r="W329" i="108"/>
  <c r="T329" i="108"/>
  <c r="Y329" i="108"/>
  <c r="V329" i="108"/>
  <c r="X329" i="108"/>
  <c r="Z329" i="108"/>
  <c r="R330" i="108"/>
  <c r="S330" i="108"/>
  <c r="W330" i="108"/>
  <c r="T330" i="108"/>
  <c r="Y330" i="108"/>
  <c r="V330" i="108"/>
  <c r="X330" i="108"/>
  <c r="Z330" i="108"/>
  <c r="R331" i="108"/>
  <c r="S331" i="108"/>
  <c r="W331" i="108"/>
  <c r="T331" i="108"/>
  <c r="Y331" i="108"/>
  <c r="V331" i="108"/>
  <c r="X331" i="108"/>
  <c r="Z331" i="108"/>
  <c r="R332" i="108"/>
  <c r="S332" i="108"/>
  <c r="W332" i="108"/>
  <c r="T332" i="108"/>
  <c r="Y332" i="108"/>
  <c r="V332" i="108"/>
  <c r="X332" i="108"/>
  <c r="Z332" i="108"/>
  <c r="R333" i="108"/>
  <c r="S333" i="108"/>
  <c r="W333" i="108"/>
  <c r="T333" i="108"/>
  <c r="Y333" i="108"/>
  <c r="V333" i="108"/>
  <c r="X333" i="108"/>
  <c r="Z333" i="108"/>
  <c r="R334" i="108"/>
  <c r="S334" i="108"/>
  <c r="W334" i="108"/>
  <c r="T334" i="108"/>
  <c r="Y334" i="108"/>
  <c r="V334" i="108"/>
  <c r="X334" i="108"/>
  <c r="Z334" i="108"/>
  <c r="R335" i="108"/>
  <c r="S335" i="108"/>
  <c r="W335" i="108"/>
  <c r="T335" i="108"/>
  <c r="Y335" i="108"/>
  <c r="V335" i="108"/>
  <c r="X335" i="108"/>
  <c r="Z335" i="108"/>
  <c r="R336" i="108"/>
  <c r="S336" i="108"/>
  <c r="W336" i="108"/>
  <c r="T336" i="108"/>
  <c r="Y336" i="108"/>
  <c r="V336" i="108"/>
  <c r="X336" i="108"/>
  <c r="Z336" i="108"/>
  <c r="R337" i="108"/>
  <c r="S337" i="108"/>
  <c r="W337" i="108"/>
  <c r="T337" i="108"/>
  <c r="Y337" i="108"/>
  <c r="V337" i="108"/>
  <c r="X337" i="108"/>
  <c r="Z337" i="108"/>
  <c r="R338" i="108"/>
  <c r="S338" i="108"/>
  <c r="W338" i="108"/>
  <c r="T338" i="108"/>
  <c r="Y338" i="108"/>
  <c r="V338" i="108"/>
  <c r="X338" i="108"/>
  <c r="Z338" i="108"/>
  <c r="R339" i="108"/>
  <c r="S339" i="108"/>
  <c r="W339" i="108"/>
  <c r="T339" i="108"/>
  <c r="Y339" i="108"/>
  <c r="V339" i="108"/>
  <c r="X339" i="108"/>
  <c r="Z339" i="108"/>
  <c r="R341" i="108"/>
  <c r="S341" i="108"/>
  <c r="W341" i="108"/>
  <c r="T341" i="108"/>
  <c r="Y341" i="108"/>
  <c r="V341" i="108"/>
  <c r="X341" i="108"/>
  <c r="Z341" i="108"/>
  <c r="R342" i="108"/>
  <c r="S342" i="108"/>
  <c r="W342" i="108"/>
  <c r="T342" i="108"/>
  <c r="Y342" i="108"/>
  <c r="V342" i="108"/>
  <c r="X342" i="108"/>
  <c r="Z342" i="108"/>
  <c r="R343" i="108"/>
  <c r="S343" i="108"/>
  <c r="W343" i="108"/>
  <c r="T343" i="108"/>
  <c r="Y343" i="108"/>
  <c r="V343" i="108"/>
  <c r="X343" i="108"/>
  <c r="Z343" i="108"/>
  <c r="R344" i="108"/>
  <c r="S344" i="108"/>
  <c r="W344" i="108"/>
  <c r="T344" i="108"/>
  <c r="Y344" i="108"/>
  <c r="V344" i="108"/>
  <c r="X344" i="108"/>
  <c r="Z344" i="108"/>
  <c r="R345" i="108"/>
  <c r="S345" i="108"/>
  <c r="W345" i="108"/>
  <c r="T345" i="108"/>
  <c r="Y345" i="108"/>
  <c r="V345" i="108"/>
  <c r="X345" i="108"/>
  <c r="Z345" i="108"/>
  <c r="R346" i="108"/>
  <c r="S346" i="108"/>
  <c r="W346" i="108"/>
  <c r="T346" i="108"/>
  <c r="Y346" i="108"/>
  <c r="V346" i="108"/>
  <c r="X346" i="108"/>
  <c r="Z346" i="108"/>
  <c r="R348" i="108"/>
  <c r="S348" i="108"/>
  <c r="W348" i="108"/>
  <c r="T348" i="108"/>
  <c r="Y348" i="108"/>
  <c r="V348" i="108"/>
  <c r="X348" i="108"/>
  <c r="Z348" i="108"/>
  <c r="R349" i="108"/>
  <c r="S349" i="108"/>
  <c r="W349" i="108"/>
  <c r="T349" i="108"/>
  <c r="Y349" i="108"/>
  <c r="V349" i="108"/>
  <c r="X349" i="108"/>
  <c r="Z349" i="108"/>
  <c r="R352" i="108"/>
  <c r="S352" i="108"/>
  <c r="W352" i="108"/>
  <c r="T352" i="108"/>
  <c r="Y352" i="108"/>
  <c r="V352" i="108"/>
  <c r="X352" i="108"/>
  <c r="Z352" i="108"/>
  <c r="R353" i="108"/>
  <c r="S353" i="108"/>
  <c r="W353" i="108"/>
  <c r="T353" i="108"/>
  <c r="Y353" i="108"/>
  <c r="V353" i="108"/>
  <c r="X353" i="108"/>
  <c r="Z353" i="108"/>
  <c r="R354" i="108"/>
  <c r="S354" i="108"/>
  <c r="W354" i="108"/>
  <c r="T354" i="108"/>
  <c r="Y354" i="108"/>
  <c r="V354" i="108"/>
  <c r="X354" i="108"/>
  <c r="Z354" i="108"/>
  <c r="R356" i="108"/>
  <c r="S356" i="108"/>
  <c r="W356" i="108"/>
  <c r="T356" i="108"/>
  <c r="Y356" i="108"/>
  <c r="V356" i="108"/>
  <c r="X356" i="108"/>
  <c r="Z356" i="108"/>
  <c r="R357" i="108"/>
  <c r="S357" i="108"/>
  <c r="W357" i="108"/>
  <c r="T357" i="108"/>
  <c r="Y357" i="108"/>
  <c r="V357" i="108"/>
  <c r="X357" i="108"/>
  <c r="Z357" i="108"/>
  <c r="R358" i="108"/>
  <c r="S358" i="108"/>
  <c r="W358" i="108"/>
  <c r="T358" i="108"/>
  <c r="Y358" i="108"/>
  <c r="V358" i="108"/>
  <c r="X358" i="108"/>
  <c r="Z358" i="108"/>
  <c r="R359" i="108"/>
  <c r="S359" i="108"/>
  <c r="W359" i="108"/>
  <c r="T359" i="108"/>
  <c r="Y359" i="108"/>
  <c r="V359" i="108"/>
  <c r="X359" i="108"/>
  <c r="Z359" i="108"/>
  <c r="R361" i="108"/>
  <c r="S361" i="108"/>
  <c r="W361" i="108"/>
  <c r="T361" i="108"/>
  <c r="Y361" i="108"/>
  <c r="V361" i="108"/>
  <c r="X361" i="108"/>
  <c r="Z361" i="108"/>
  <c r="R362" i="108"/>
  <c r="S362" i="108"/>
  <c r="W362" i="108"/>
  <c r="T362" i="108"/>
  <c r="Y362" i="108"/>
  <c r="V362" i="108"/>
  <c r="X362" i="108"/>
  <c r="Z362" i="108"/>
  <c r="R363" i="108"/>
  <c r="S363" i="108"/>
  <c r="W363" i="108"/>
  <c r="T363" i="108"/>
  <c r="Y363" i="108"/>
  <c r="V363" i="108"/>
  <c r="X363" i="108"/>
  <c r="Z363" i="108"/>
  <c r="R364" i="108"/>
  <c r="S364" i="108"/>
  <c r="W364" i="108"/>
  <c r="T364" i="108"/>
  <c r="Y364" i="108"/>
  <c r="V364" i="108"/>
  <c r="X364" i="108"/>
  <c r="Z364" i="108"/>
  <c r="R365" i="108"/>
  <c r="S365" i="108"/>
  <c r="W365" i="108"/>
  <c r="T365" i="108"/>
  <c r="Y365" i="108"/>
  <c r="V365" i="108"/>
  <c r="X365" i="108"/>
  <c r="Z365" i="108"/>
  <c r="R366" i="108"/>
  <c r="S366" i="108"/>
  <c r="W366" i="108"/>
  <c r="T366" i="108"/>
  <c r="Y366" i="108"/>
  <c r="V366" i="108"/>
  <c r="X366" i="108"/>
  <c r="Z366" i="108"/>
  <c r="R368" i="108"/>
  <c r="S368" i="108"/>
  <c r="W368" i="108"/>
  <c r="T368" i="108"/>
  <c r="Y368" i="108"/>
  <c r="V368" i="108"/>
  <c r="X368" i="108"/>
  <c r="Z368" i="108"/>
  <c r="R369" i="108"/>
  <c r="S369" i="108"/>
  <c r="W369" i="108"/>
  <c r="T369" i="108"/>
  <c r="Y369" i="108"/>
  <c r="V369" i="108"/>
  <c r="X369" i="108"/>
  <c r="Z369" i="108"/>
  <c r="R370" i="108"/>
  <c r="S370" i="108"/>
  <c r="W370" i="108"/>
  <c r="T370" i="108"/>
  <c r="Y370" i="108"/>
  <c r="V370" i="108"/>
  <c r="X370" i="108"/>
  <c r="Z370" i="108"/>
  <c r="R371" i="108"/>
  <c r="S371" i="108"/>
  <c r="W371" i="108"/>
  <c r="T371" i="108"/>
  <c r="Y371" i="108"/>
  <c r="V371" i="108"/>
  <c r="X371" i="108"/>
  <c r="Z371" i="108"/>
  <c r="R372" i="108"/>
  <c r="S372" i="108"/>
  <c r="W372" i="108"/>
  <c r="T372" i="108"/>
  <c r="Y372" i="108"/>
  <c r="V372" i="108"/>
  <c r="X372" i="108"/>
  <c r="Z372" i="108"/>
  <c r="R373" i="108"/>
  <c r="S373" i="108"/>
  <c r="W373" i="108"/>
  <c r="T373" i="108"/>
  <c r="Y373" i="108"/>
  <c r="V373" i="108"/>
  <c r="X373" i="108"/>
  <c r="Z373" i="108"/>
  <c r="R375" i="108"/>
  <c r="S375" i="108"/>
  <c r="W375" i="108"/>
  <c r="T375" i="108"/>
  <c r="Y375" i="108"/>
  <c r="V375" i="108"/>
  <c r="X375" i="108"/>
  <c r="Z375" i="108"/>
  <c r="R376" i="108"/>
  <c r="S376" i="108"/>
  <c r="W376" i="108"/>
  <c r="T376" i="108"/>
  <c r="Y376" i="108"/>
  <c r="V376" i="108"/>
  <c r="X376" i="108"/>
  <c r="Z376" i="108"/>
  <c r="R377" i="108"/>
  <c r="S377" i="108"/>
  <c r="W377" i="108"/>
  <c r="T377" i="108"/>
  <c r="Y377" i="108"/>
  <c r="V377" i="108"/>
  <c r="X377" i="108"/>
  <c r="Z377" i="108"/>
  <c r="R379" i="108"/>
  <c r="S379" i="108"/>
  <c r="W379" i="108"/>
  <c r="T379" i="108"/>
  <c r="Y379" i="108"/>
  <c r="V379" i="108"/>
  <c r="X379" i="108"/>
  <c r="Z379" i="108"/>
  <c r="R381" i="108"/>
  <c r="S381" i="108"/>
  <c r="W381" i="108"/>
  <c r="T381" i="108"/>
  <c r="Y381" i="108"/>
  <c r="V381" i="108"/>
  <c r="X381" i="108"/>
  <c r="Z381" i="108"/>
  <c r="R382" i="108"/>
  <c r="S382" i="108"/>
  <c r="W382" i="108"/>
  <c r="T382" i="108"/>
  <c r="Y382" i="108"/>
  <c r="V382" i="108"/>
  <c r="X382" i="108"/>
  <c r="Z382" i="108"/>
  <c r="R383" i="108"/>
  <c r="S383" i="108"/>
  <c r="W383" i="108"/>
  <c r="T383" i="108"/>
  <c r="Y383" i="108"/>
  <c r="V383" i="108"/>
  <c r="X383" i="108"/>
  <c r="Z383" i="108"/>
  <c r="R384" i="108"/>
  <c r="S384" i="108"/>
  <c r="W384" i="108"/>
  <c r="T384" i="108"/>
  <c r="Y384" i="108"/>
  <c r="V384" i="108"/>
  <c r="X384" i="108"/>
  <c r="Z384" i="108"/>
  <c r="R386" i="108"/>
  <c r="S386" i="108"/>
  <c r="W386" i="108"/>
  <c r="T386" i="108"/>
  <c r="Y386" i="108"/>
  <c r="V386" i="108"/>
  <c r="X386" i="108"/>
  <c r="Z386" i="108"/>
  <c r="R387" i="108"/>
  <c r="S387" i="108"/>
  <c r="W387" i="108"/>
  <c r="T387" i="108"/>
  <c r="Y387" i="108"/>
  <c r="V387" i="108"/>
  <c r="X387" i="108"/>
  <c r="Z387" i="108"/>
  <c r="R390" i="108"/>
  <c r="S390" i="108"/>
  <c r="W390" i="108"/>
  <c r="T390" i="108"/>
  <c r="Y390" i="108"/>
  <c r="V390" i="108"/>
  <c r="X390" i="108"/>
  <c r="Z390" i="108"/>
  <c r="R391" i="108"/>
  <c r="S391" i="108"/>
  <c r="W391" i="108"/>
  <c r="T391" i="108"/>
  <c r="Y391" i="108"/>
  <c r="V391" i="108"/>
  <c r="X391" i="108"/>
  <c r="Z391" i="108"/>
  <c r="R392" i="108"/>
  <c r="S392" i="108"/>
  <c r="W392" i="108"/>
  <c r="T392" i="108"/>
  <c r="Y392" i="108"/>
  <c r="V392" i="108"/>
  <c r="X392" i="108"/>
  <c r="Z392" i="108"/>
  <c r="R393" i="108"/>
  <c r="S393" i="108"/>
  <c r="W393" i="108"/>
  <c r="T393" i="108"/>
  <c r="Y393" i="108"/>
  <c r="V393" i="108"/>
  <c r="X393" i="108"/>
  <c r="Z393" i="108"/>
  <c r="R395" i="108"/>
  <c r="S395" i="108"/>
  <c r="W395" i="108"/>
  <c r="T395" i="108"/>
  <c r="Y395" i="108"/>
  <c r="V395" i="108"/>
  <c r="X395" i="108"/>
  <c r="Z395" i="108"/>
  <c r="V13" i="108"/>
  <c r="X13" i="108"/>
  <c r="Z13" i="108"/>
  <c r="R396" i="108"/>
  <c r="S396" i="108"/>
  <c r="W396" i="108"/>
  <c r="T396" i="108"/>
  <c r="Y396" i="108"/>
  <c r="V396" i="108"/>
  <c r="X396" i="108"/>
  <c r="Z396" i="108"/>
  <c r="R397" i="108"/>
  <c r="S397" i="108"/>
  <c r="W397" i="108"/>
  <c r="T397" i="108"/>
  <c r="Y397" i="108"/>
  <c r="V397" i="108"/>
  <c r="X397" i="108"/>
  <c r="Z397" i="108"/>
  <c r="R398" i="108"/>
  <c r="S398" i="108"/>
  <c r="W398" i="108"/>
  <c r="T398" i="108"/>
  <c r="Y398" i="108"/>
  <c r="V398" i="108"/>
  <c r="X398" i="108"/>
  <c r="Z398" i="108"/>
  <c r="R399" i="108"/>
  <c r="S399" i="108"/>
  <c r="W399" i="108"/>
  <c r="T399" i="108"/>
  <c r="Y399" i="108"/>
  <c r="V399" i="108"/>
  <c r="X399" i="108"/>
  <c r="Z399" i="108"/>
  <c r="R400" i="108"/>
  <c r="S400" i="108"/>
  <c r="W400" i="108"/>
  <c r="T400" i="108"/>
  <c r="Y400" i="108"/>
  <c r="V400" i="108"/>
  <c r="X400" i="108"/>
  <c r="Z400" i="108"/>
  <c r="R401" i="108"/>
  <c r="S401" i="108"/>
  <c r="W401" i="108"/>
  <c r="T401" i="108"/>
  <c r="Y401" i="108"/>
  <c r="V401" i="108"/>
  <c r="X401" i="108"/>
  <c r="Z401" i="108"/>
  <c r="R402" i="108"/>
  <c r="S402" i="108"/>
  <c r="W402" i="108"/>
  <c r="T402" i="108"/>
  <c r="Y402" i="108"/>
  <c r="V402" i="108"/>
  <c r="X402" i="108"/>
  <c r="Z402" i="108"/>
  <c r="R403" i="108"/>
  <c r="S403" i="108"/>
  <c r="W403" i="108"/>
  <c r="T403" i="108"/>
  <c r="Y403" i="108"/>
  <c r="V403" i="108"/>
  <c r="X403" i="108"/>
  <c r="Z403" i="108"/>
  <c r="R404" i="108"/>
  <c r="S404" i="108"/>
  <c r="W404" i="108"/>
  <c r="T404" i="108"/>
  <c r="Y404" i="108"/>
  <c r="V404" i="108"/>
  <c r="X404" i="108"/>
  <c r="Z404" i="108"/>
  <c r="R405" i="108"/>
  <c r="S405" i="108"/>
  <c r="W405" i="108"/>
  <c r="T405" i="108"/>
  <c r="Y405" i="108"/>
  <c r="V405" i="108"/>
  <c r="X405" i="108"/>
  <c r="Z405" i="108"/>
  <c r="R406" i="108"/>
  <c r="S406" i="108"/>
  <c r="W406" i="108"/>
  <c r="T406" i="108"/>
  <c r="Y406" i="108"/>
  <c r="V406" i="108"/>
  <c r="X406" i="108"/>
  <c r="Z406" i="108"/>
  <c r="R407" i="108"/>
  <c r="S407" i="108"/>
  <c r="W407" i="108"/>
  <c r="T407" i="108"/>
  <c r="Y407" i="108"/>
  <c r="V407" i="108"/>
  <c r="X407" i="108"/>
  <c r="Z407" i="108"/>
  <c r="R408" i="108"/>
  <c r="S408" i="108"/>
  <c r="W408" i="108"/>
  <c r="T408" i="108"/>
  <c r="Y408" i="108"/>
  <c r="V408" i="108"/>
  <c r="X408" i="108"/>
  <c r="Z408" i="108"/>
  <c r="R409" i="108"/>
  <c r="S409" i="108"/>
  <c r="W409" i="108"/>
  <c r="T409" i="108"/>
  <c r="Y409" i="108"/>
  <c r="V409" i="108"/>
  <c r="X409" i="108"/>
  <c r="Z409" i="108"/>
  <c r="R410" i="108"/>
  <c r="S410" i="108"/>
  <c r="W410" i="108"/>
  <c r="T410" i="108"/>
  <c r="Y410" i="108"/>
  <c r="V410" i="108"/>
  <c r="X410" i="108"/>
  <c r="Z410" i="108"/>
  <c r="R411" i="108"/>
  <c r="S411" i="108"/>
  <c r="W411" i="108"/>
  <c r="T411" i="108"/>
  <c r="Y411" i="108"/>
  <c r="V411" i="108"/>
  <c r="X411" i="108"/>
  <c r="Z411" i="108"/>
  <c r="R412" i="108"/>
  <c r="S412" i="108"/>
  <c r="W412" i="108"/>
  <c r="T412" i="108"/>
  <c r="Y412" i="108"/>
  <c r="V412" i="108"/>
  <c r="X412" i="108"/>
  <c r="Z412" i="108"/>
  <c r="R413" i="108"/>
  <c r="S413" i="108"/>
  <c r="W413" i="108"/>
  <c r="T413" i="108"/>
  <c r="Y413" i="108"/>
  <c r="V413" i="108"/>
  <c r="X413" i="108"/>
  <c r="Z413" i="108"/>
  <c r="R414" i="108"/>
  <c r="S414" i="108"/>
  <c r="W414" i="108"/>
  <c r="T414" i="108"/>
  <c r="Y414" i="108"/>
  <c r="V414" i="108"/>
  <c r="X414" i="108"/>
  <c r="Z414" i="108"/>
  <c r="R415" i="108"/>
  <c r="S415" i="108"/>
  <c r="W415" i="108"/>
  <c r="T415" i="108"/>
  <c r="Y415" i="108"/>
  <c r="V415" i="108"/>
  <c r="X415" i="108"/>
  <c r="Z415" i="108"/>
  <c r="R416" i="108"/>
  <c r="S416" i="108"/>
  <c r="W416" i="108"/>
  <c r="T416" i="108"/>
  <c r="Y416" i="108"/>
  <c r="V416" i="108"/>
  <c r="X416" i="108"/>
  <c r="Z416" i="108"/>
  <c r="R417" i="108"/>
  <c r="S417" i="108"/>
  <c r="W417" i="108"/>
  <c r="T417" i="108"/>
  <c r="Y417" i="108"/>
  <c r="V417" i="108"/>
  <c r="X417" i="108"/>
  <c r="Z417" i="108"/>
  <c r="R418" i="108"/>
  <c r="S418" i="108"/>
  <c r="W418" i="108"/>
  <c r="T418" i="108"/>
  <c r="Y418" i="108"/>
  <c r="V418" i="108"/>
  <c r="X418" i="108"/>
  <c r="Z418" i="108"/>
  <c r="R419" i="108"/>
  <c r="S419" i="108"/>
  <c r="W419" i="108"/>
  <c r="T419" i="108"/>
  <c r="Y419" i="108"/>
  <c r="V419" i="108"/>
  <c r="X419" i="108"/>
  <c r="Z419" i="108"/>
  <c r="R421" i="108"/>
  <c r="S421" i="108"/>
  <c r="W421" i="108"/>
  <c r="T421" i="108"/>
  <c r="Y421" i="108"/>
  <c r="V421" i="108"/>
  <c r="X421" i="108"/>
  <c r="Z421" i="108"/>
  <c r="R422" i="108"/>
  <c r="S422" i="108"/>
  <c r="W422" i="108"/>
  <c r="T422" i="108"/>
  <c r="Y422" i="108"/>
  <c r="V422" i="108"/>
  <c r="X422" i="108"/>
  <c r="Z422" i="108"/>
  <c r="R423" i="108"/>
  <c r="S423" i="108"/>
  <c r="W423" i="108"/>
  <c r="T423" i="108"/>
  <c r="Y423" i="108"/>
  <c r="V423" i="108"/>
  <c r="X423" i="108"/>
  <c r="Z423" i="108"/>
  <c r="R424" i="108"/>
  <c r="S424" i="108"/>
  <c r="W424" i="108"/>
  <c r="T424" i="108"/>
  <c r="Y424" i="108"/>
  <c r="V424" i="108"/>
  <c r="X424" i="108"/>
  <c r="Z424" i="108"/>
  <c r="R425" i="108"/>
  <c r="S425" i="108"/>
  <c r="W425" i="108"/>
  <c r="T425" i="108"/>
  <c r="Y425" i="108"/>
  <c r="V425" i="108"/>
  <c r="X425" i="108"/>
  <c r="Z425" i="108"/>
  <c r="R426" i="108"/>
  <c r="S426" i="108"/>
  <c r="W426" i="108"/>
  <c r="T426" i="108"/>
  <c r="Y426" i="108"/>
  <c r="V426" i="108"/>
  <c r="X426" i="108"/>
  <c r="Z426" i="108"/>
  <c r="R427" i="108"/>
  <c r="S427" i="108"/>
  <c r="W427" i="108"/>
  <c r="T427" i="108"/>
  <c r="Y427" i="108"/>
  <c r="V427" i="108"/>
  <c r="X427" i="108"/>
  <c r="Z427" i="108"/>
  <c r="R428" i="108"/>
  <c r="S428" i="108"/>
  <c r="W428" i="108"/>
  <c r="T428" i="108"/>
  <c r="Y428" i="108"/>
  <c r="V428" i="108"/>
  <c r="X428" i="108"/>
  <c r="Z428" i="108"/>
  <c r="R429" i="108"/>
  <c r="S429" i="108"/>
  <c r="W429" i="108"/>
  <c r="T429" i="108"/>
  <c r="Y429" i="108"/>
  <c r="V429" i="108"/>
  <c r="X429" i="108"/>
  <c r="Z429" i="108"/>
  <c r="R430" i="108"/>
  <c r="S430" i="108"/>
  <c r="W430" i="108"/>
  <c r="T430" i="108"/>
  <c r="Y430" i="108"/>
  <c r="V430" i="108"/>
  <c r="X430" i="108"/>
  <c r="Z430" i="108"/>
  <c r="R431" i="108"/>
  <c r="S431" i="108"/>
  <c r="W431" i="108"/>
  <c r="T431" i="108"/>
  <c r="Y431" i="108"/>
  <c r="V431" i="108"/>
  <c r="X431" i="108"/>
  <c r="Z431" i="108"/>
  <c r="R432" i="108"/>
  <c r="S432" i="108"/>
  <c r="W432" i="108"/>
  <c r="T432" i="108"/>
  <c r="Y432" i="108"/>
  <c r="V432" i="108"/>
  <c r="X432" i="108"/>
  <c r="Z432" i="108"/>
  <c r="R433" i="108"/>
  <c r="S433" i="108"/>
  <c r="W433" i="108"/>
  <c r="T433" i="108"/>
  <c r="Y433" i="108"/>
  <c r="V433" i="108"/>
  <c r="X433" i="108"/>
  <c r="Z433" i="108"/>
  <c r="R434" i="108"/>
  <c r="S434" i="108"/>
  <c r="W434" i="108"/>
  <c r="T434" i="108"/>
  <c r="Y434" i="108"/>
  <c r="V434" i="108"/>
  <c r="X434" i="108"/>
  <c r="Z434" i="108"/>
  <c r="R435" i="108"/>
  <c r="S435" i="108"/>
  <c r="W435" i="108"/>
  <c r="T435" i="108"/>
  <c r="Y435" i="108"/>
  <c r="V435" i="108"/>
  <c r="X435" i="108"/>
  <c r="Z435" i="108"/>
  <c r="R436" i="108"/>
  <c r="S436" i="108"/>
  <c r="W436" i="108"/>
  <c r="T436" i="108"/>
  <c r="Y436" i="108"/>
  <c r="V436" i="108"/>
  <c r="X436" i="108"/>
  <c r="Z436" i="108"/>
  <c r="R437" i="108"/>
  <c r="S437" i="108"/>
  <c r="W437" i="108"/>
  <c r="T437" i="108"/>
  <c r="Y437" i="108"/>
  <c r="V437" i="108"/>
  <c r="X437" i="108"/>
  <c r="Z437" i="108"/>
  <c r="R438" i="108"/>
  <c r="S438" i="108"/>
  <c r="W438" i="108"/>
  <c r="T438" i="108"/>
  <c r="Y438" i="108"/>
  <c r="V438" i="108"/>
  <c r="X438" i="108"/>
  <c r="Z438" i="108"/>
  <c r="R439" i="108"/>
  <c r="S439" i="108"/>
  <c r="W439" i="108"/>
  <c r="T439" i="108"/>
  <c r="Y439" i="108"/>
  <c r="V439" i="108"/>
  <c r="X439" i="108"/>
  <c r="Z439" i="108"/>
  <c r="R440" i="108"/>
  <c r="S440" i="108"/>
  <c r="W440" i="108"/>
  <c r="T440" i="108"/>
  <c r="Y440" i="108"/>
  <c r="V440" i="108"/>
  <c r="X440" i="108"/>
  <c r="Z440" i="108"/>
  <c r="R441" i="108"/>
  <c r="S441" i="108"/>
  <c r="W441" i="108"/>
  <c r="T441" i="108"/>
  <c r="Y441" i="108"/>
  <c r="V441" i="108"/>
  <c r="X441" i="108"/>
  <c r="Z441" i="108"/>
  <c r="R442" i="108"/>
  <c r="S442" i="108"/>
  <c r="W442" i="108"/>
  <c r="T442" i="108"/>
  <c r="Y442" i="108"/>
  <c r="V442" i="108"/>
  <c r="X442" i="108"/>
  <c r="Z442" i="108"/>
  <c r="R443" i="108"/>
  <c r="S443" i="108"/>
  <c r="W443" i="108"/>
  <c r="T443" i="108"/>
  <c r="Y443" i="108"/>
  <c r="V443" i="108"/>
  <c r="X443" i="108"/>
  <c r="Z443" i="108"/>
  <c r="R444" i="108"/>
  <c r="S444" i="108"/>
  <c r="W444" i="108"/>
  <c r="T444" i="108"/>
  <c r="Y444" i="108"/>
  <c r="V444" i="108"/>
  <c r="X444" i="108"/>
  <c r="Z444" i="108"/>
  <c r="R445" i="108"/>
  <c r="S445" i="108"/>
  <c r="W445" i="108"/>
  <c r="T445" i="108"/>
  <c r="Y445" i="108"/>
  <c r="V445" i="108"/>
  <c r="X445" i="108"/>
  <c r="Z445" i="108"/>
  <c r="R446" i="108"/>
  <c r="S446" i="108"/>
  <c r="W446" i="108"/>
  <c r="T446" i="108"/>
  <c r="Y446" i="108"/>
  <c r="V446" i="108"/>
  <c r="X446" i="108"/>
  <c r="Z446" i="108"/>
  <c r="R447" i="108"/>
  <c r="S447" i="108"/>
  <c r="W447" i="108"/>
  <c r="T447" i="108"/>
  <c r="Y447" i="108"/>
  <c r="V447" i="108"/>
  <c r="X447" i="108"/>
  <c r="Z447" i="108"/>
  <c r="R448" i="108"/>
  <c r="S448" i="108"/>
  <c r="W448" i="108"/>
  <c r="T448" i="108"/>
  <c r="Y448" i="108"/>
  <c r="V448" i="108"/>
  <c r="X448" i="108"/>
  <c r="Z448" i="108"/>
  <c r="R449" i="108"/>
  <c r="S449" i="108"/>
  <c r="W449" i="108"/>
  <c r="T449" i="108"/>
  <c r="Y449" i="108"/>
  <c r="V449" i="108"/>
  <c r="X449" i="108"/>
  <c r="Z449" i="108"/>
  <c r="R450" i="108"/>
  <c r="S450" i="108"/>
  <c r="W450" i="108"/>
  <c r="T450" i="108"/>
  <c r="Y450" i="108"/>
  <c r="V450" i="108"/>
  <c r="X450" i="108"/>
  <c r="Z450" i="108"/>
  <c r="R451" i="108"/>
  <c r="S451" i="108"/>
  <c r="W451" i="108"/>
  <c r="T451" i="108"/>
  <c r="Y451" i="108"/>
  <c r="V451" i="108"/>
  <c r="X451" i="108"/>
  <c r="Z451" i="108"/>
  <c r="R452" i="108"/>
  <c r="S452" i="108"/>
  <c r="W452" i="108"/>
  <c r="T452" i="108"/>
  <c r="Y452" i="108"/>
  <c r="V452" i="108"/>
  <c r="X452" i="108"/>
  <c r="Z452" i="108"/>
  <c r="R453" i="108"/>
  <c r="S453" i="108"/>
  <c r="W453" i="108"/>
  <c r="T453" i="108"/>
  <c r="Y453" i="108"/>
  <c r="V453" i="108"/>
  <c r="X453" i="108"/>
  <c r="Z453" i="108"/>
  <c r="R454" i="108"/>
  <c r="S454" i="108"/>
  <c r="W454" i="108"/>
  <c r="T454" i="108"/>
  <c r="Y454" i="108"/>
  <c r="V454" i="108"/>
  <c r="X454" i="108"/>
  <c r="Z454" i="108"/>
  <c r="R455" i="108"/>
  <c r="S455" i="108"/>
  <c r="W455" i="108"/>
  <c r="T455" i="108"/>
  <c r="Y455" i="108"/>
  <c r="V455" i="108"/>
  <c r="X455" i="108"/>
  <c r="Z455" i="108"/>
  <c r="R456" i="108"/>
  <c r="S456" i="108"/>
  <c r="W456" i="108"/>
  <c r="T456" i="108"/>
  <c r="Y456" i="108"/>
  <c r="V456" i="108"/>
  <c r="X456" i="108"/>
  <c r="Z456" i="108"/>
  <c r="R457" i="108"/>
  <c r="S457" i="108"/>
  <c r="W457" i="108"/>
  <c r="T457" i="108"/>
  <c r="Y457" i="108"/>
  <c r="V457" i="108"/>
  <c r="X457" i="108"/>
  <c r="Z457" i="108"/>
  <c r="R458" i="108"/>
  <c r="S458" i="108"/>
  <c r="W458" i="108"/>
  <c r="T458" i="108"/>
  <c r="Y458" i="108"/>
  <c r="V458" i="108"/>
  <c r="X458" i="108"/>
  <c r="Z458" i="108"/>
  <c r="R459" i="108"/>
  <c r="S459" i="108"/>
  <c r="W459" i="108"/>
  <c r="T459" i="108"/>
  <c r="Y459" i="108"/>
  <c r="V459" i="108"/>
  <c r="X459" i="108"/>
  <c r="Z459" i="108"/>
  <c r="R460" i="108"/>
  <c r="S460" i="108"/>
  <c r="W460" i="108"/>
  <c r="T460" i="108"/>
  <c r="Y460" i="108"/>
  <c r="V460" i="108"/>
  <c r="X460" i="108"/>
  <c r="Z460" i="108"/>
  <c r="R461" i="108"/>
  <c r="S461" i="108"/>
  <c r="W461" i="108"/>
  <c r="T461" i="108"/>
  <c r="Y461" i="108"/>
  <c r="V461" i="108"/>
  <c r="X461" i="108"/>
  <c r="Z461" i="108"/>
  <c r="R462" i="108"/>
  <c r="S462" i="108"/>
  <c r="W462" i="108"/>
  <c r="T462" i="108"/>
  <c r="Y462" i="108"/>
  <c r="V462" i="108"/>
  <c r="X462" i="108"/>
  <c r="Z462" i="108"/>
  <c r="R463" i="108"/>
  <c r="S463" i="108"/>
  <c r="W463" i="108"/>
  <c r="T463" i="108"/>
  <c r="Y463" i="108"/>
  <c r="V463" i="108"/>
  <c r="X463" i="108"/>
  <c r="Z463" i="108"/>
  <c r="R464" i="108"/>
  <c r="S464" i="108"/>
  <c r="W464" i="108"/>
  <c r="T464" i="108"/>
  <c r="Y464" i="108"/>
  <c r="V464" i="108"/>
  <c r="X464" i="108"/>
  <c r="Z464" i="108"/>
  <c r="R465" i="108"/>
  <c r="S465" i="108"/>
  <c r="W465" i="108"/>
  <c r="T465" i="108"/>
  <c r="Y465" i="108"/>
  <c r="V465" i="108"/>
  <c r="X465" i="108"/>
  <c r="Z465" i="108"/>
  <c r="R466" i="108"/>
  <c r="S466" i="108"/>
  <c r="W466" i="108"/>
  <c r="T466" i="108"/>
  <c r="Y466" i="108"/>
  <c r="V466" i="108"/>
  <c r="X466" i="108"/>
  <c r="Z466" i="108"/>
  <c r="R467" i="108"/>
  <c r="S467" i="108"/>
  <c r="W467" i="108"/>
  <c r="T467" i="108"/>
  <c r="Y467" i="108"/>
  <c r="V467" i="108"/>
  <c r="X467" i="108"/>
  <c r="Z467" i="108"/>
  <c r="R468" i="108"/>
  <c r="S468" i="108"/>
  <c r="W468" i="108"/>
  <c r="T468" i="108"/>
  <c r="Y468" i="108"/>
  <c r="V468" i="108"/>
  <c r="X468" i="108"/>
  <c r="Z468" i="108"/>
  <c r="R469" i="108"/>
  <c r="S469" i="108"/>
  <c r="W469" i="108"/>
  <c r="T469" i="108"/>
  <c r="Y469" i="108"/>
  <c r="V469" i="108"/>
  <c r="X469" i="108"/>
  <c r="Z469" i="108"/>
  <c r="R470" i="108"/>
  <c r="S470" i="108"/>
  <c r="W470" i="108"/>
  <c r="T470" i="108"/>
  <c r="Y470" i="108"/>
  <c r="V470" i="108"/>
  <c r="X470" i="108"/>
  <c r="Z470" i="108"/>
  <c r="R471" i="108"/>
  <c r="S471" i="108"/>
  <c r="W471" i="108"/>
  <c r="T471" i="108"/>
  <c r="Y471" i="108"/>
  <c r="V471" i="108"/>
  <c r="X471" i="108"/>
  <c r="Z471" i="108"/>
  <c r="R472" i="108"/>
  <c r="S472" i="108"/>
  <c r="W472" i="108"/>
  <c r="T472" i="108"/>
  <c r="Y472" i="108"/>
  <c r="V472" i="108"/>
  <c r="X472" i="108"/>
  <c r="Z472" i="108"/>
  <c r="R473" i="108"/>
  <c r="S473" i="108"/>
  <c r="W473" i="108"/>
  <c r="T473" i="108"/>
  <c r="Y473" i="108"/>
  <c r="V473" i="108"/>
  <c r="X473" i="108"/>
  <c r="Z473" i="108"/>
  <c r="R474" i="108"/>
  <c r="S474" i="108"/>
  <c r="W474" i="108"/>
  <c r="T474" i="108"/>
  <c r="Y474" i="108"/>
  <c r="V474" i="108"/>
  <c r="X474" i="108"/>
  <c r="Z474" i="108"/>
  <c r="R475" i="108"/>
  <c r="S475" i="108"/>
  <c r="W475" i="108"/>
  <c r="T475" i="108"/>
  <c r="Y475" i="108"/>
  <c r="V475" i="108"/>
  <c r="X475" i="108"/>
  <c r="Z475" i="108"/>
  <c r="R476" i="108"/>
  <c r="S476" i="108"/>
  <c r="W476" i="108"/>
  <c r="T476" i="108"/>
  <c r="Y476" i="108"/>
  <c r="V476" i="108"/>
  <c r="X476" i="108"/>
  <c r="Z476" i="108"/>
  <c r="R477" i="108"/>
  <c r="S477" i="108"/>
  <c r="W477" i="108"/>
  <c r="T477" i="108"/>
  <c r="Y477" i="108"/>
  <c r="V477" i="108"/>
  <c r="X477" i="108"/>
  <c r="Z477" i="108"/>
  <c r="R478" i="108"/>
  <c r="S478" i="108"/>
  <c r="W478" i="108"/>
  <c r="T478" i="108"/>
  <c r="Y478" i="108"/>
  <c r="V478" i="108"/>
  <c r="X478" i="108"/>
  <c r="Z478" i="108"/>
  <c r="R479" i="108"/>
  <c r="S479" i="108"/>
  <c r="W479" i="108"/>
  <c r="T479" i="108"/>
  <c r="Y479" i="108"/>
  <c r="V479" i="108"/>
  <c r="X479" i="108"/>
  <c r="Z479" i="108"/>
  <c r="R480" i="108"/>
  <c r="S480" i="108"/>
  <c r="W480" i="108"/>
  <c r="T480" i="108"/>
  <c r="Y480" i="108"/>
  <c r="V480" i="108"/>
  <c r="X480" i="108"/>
  <c r="Z480" i="108"/>
  <c r="R481" i="108"/>
  <c r="S481" i="108"/>
  <c r="W481" i="108"/>
  <c r="T481" i="108"/>
  <c r="Y481" i="108"/>
  <c r="V481" i="108"/>
  <c r="X481" i="108"/>
  <c r="Z481" i="108"/>
  <c r="R482" i="108"/>
  <c r="S482" i="108"/>
  <c r="W482" i="108"/>
  <c r="T482" i="108"/>
  <c r="Y482" i="108"/>
  <c r="V482" i="108"/>
  <c r="X482" i="108"/>
  <c r="Z482" i="108"/>
  <c r="R483" i="108"/>
  <c r="S483" i="108"/>
  <c r="W483" i="108"/>
  <c r="T483" i="108"/>
  <c r="Y483" i="108"/>
  <c r="V483" i="108"/>
  <c r="X483" i="108"/>
  <c r="Z483" i="108"/>
  <c r="R484" i="108"/>
  <c r="S484" i="108"/>
  <c r="W484" i="108"/>
  <c r="T484" i="108"/>
  <c r="Y484" i="108"/>
  <c r="V484" i="108"/>
  <c r="X484" i="108"/>
  <c r="Z484" i="108"/>
  <c r="R485" i="108"/>
  <c r="S485" i="108"/>
  <c r="W485" i="108"/>
  <c r="T485" i="108"/>
  <c r="Y485" i="108"/>
  <c r="V485" i="108"/>
  <c r="X485" i="108"/>
  <c r="Z485" i="108"/>
  <c r="R486" i="108"/>
  <c r="S486" i="108"/>
  <c r="W486" i="108"/>
  <c r="T486" i="108"/>
  <c r="Y486" i="108"/>
  <c r="V486" i="108"/>
  <c r="X486" i="108"/>
  <c r="Z486" i="108"/>
  <c r="R487" i="108"/>
  <c r="S487" i="108"/>
  <c r="W487" i="108"/>
  <c r="T487" i="108"/>
  <c r="Y487" i="108"/>
  <c r="V487" i="108"/>
  <c r="X487" i="108"/>
  <c r="Z487" i="108"/>
  <c r="R488" i="108"/>
  <c r="S488" i="108"/>
  <c r="W488" i="108"/>
  <c r="T488" i="108"/>
  <c r="Y488" i="108"/>
  <c r="V488" i="108"/>
  <c r="X488" i="108"/>
  <c r="Z488" i="108"/>
  <c r="R489" i="108"/>
  <c r="S489" i="108"/>
  <c r="W489" i="108"/>
  <c r="T489" i="108"/>
  <c r="Y489" i="108"/>
  <c r="V489" i="108"/>
  <c r="X489" i="108"/>
  <c r="Z489" i="108"/>
  <c r="R490" i="108"/>
  <c r="S490" i="108"/>
  <c r="W490" i="108"/>
  <c r="T490" i="108"/>
  <c r="Y490" i="108"/>
  <c r="V490" i="108"/>
  <c r="X490" i="108"/>
  <c r="Z490" i="108"/>
  <c r="R491" i="108"/>
  <c r="S491" i="108"/>
  <c r="W491" i="108"/>
  <c r="T491" i="108"/>
  <c r="Y491" i="108"/>
  <c r="V491" i="108"/>
  <c r="X491" i="108"/>
  <c r="Z491" i="108"/>
  <c r="R492" i="108"/>
  <c r="S492" i="108"/>
  <c r="W492" i="108"/>
  <c r="T492" i="108"/>
  <c r="Y492" i="108"/>
  <c r="V492" i="108"/>
  <c r="X492" i="108"/>
  <c r="Z492" i="108"/>
  <c r="R493" i="108"/>
  <c r="S493" i="108"/>
  <c r="W493" i="108"/>
  <c r="T493" i="108"/>
  <c r="Y493" i="108"/>
  <c r="V493" i="108"/>
  <c r="X493" i="108"/>
  <c r="Z493" i="108"/>
  <c r="R494" i="108"/>
  <c r="S494" i="108"/>
  <c r="W494" i="108"/>
  <c r="T494" i="108"/>
  <c r="Y494" i="108"/>
  <c r="V494" i="108"/>
  <c r="X494" i="108"/>
  <c r="Z494" i="108"/>
  <c r="R495" i="108"/>
  <c r="S495" i="108"/>
  <c r="W495" i="108"/>
  <c r="T495" i="108"/>
  <c r="Y495" i="108"/>
  <c r="V495" i="108"/>
  <c r="X495" i="108"/>
  <c r="Z495" i="108"/>
  <c r="R496" i="108"/>
  <c r="S496" i="108"/>
  <c r="W496" i="108"/>
  <c r="T496" i="108"/>
  <c r="Y496" i="108"/>
  <c r="V496" i="108"/>
  <c r="X496" i="108"/>
  <c r="Z496" i="108"/>
  <c r="R497" i="108"/>
  <c r="S497" i="108"/>
  <c r="W497" i="108"/>
  <c r="T497" i="108"/>
  <c r="Y497" i="108"/>
  <c r="V497" i="108"/>
  <c r="X497" i="108"/>
  <c r="Z497" i="108"/>
  <c r="R498" i="108"/>
  <c r="S498" i="108"/>
  <c r="W498" i="108"/>
  <c r="T498" i="108"/>
  <c r="Y498" i="108"/>
  <c r="V498" i="108"/>
  <c r="X498" i="108"/>
  <c r="Z498" i="108"/>
  <c r="R499" i="108"/>
  <c r="S499" i="108"/>
  <c r="W499" i="108"/>
  <c r="T499" i="108"/>
  <c r="Y499" i="108"/>
  <c r="V499" i="108"/>
  <c r="X499" i="108"/>
  <c r="Z499" i="108"/>
  <c r="R500" i="108"/>
  <c r="S500" i="108"/>
  <c r="W500" i="108"/>
  <c r="T500" i="108"/>
  <c r="Y500" i="108"/>
  <c r="V500" i="108"/>
  <c r="X500" i="108"/>
  <c r="Z500" i="108"/>
  <c r="R501" i="108"/>
  <c r="S501" i="108"/>
  <c r="W501" i="108"/>
  <c r="T501" i="108"/>
  <c r="Y501" i="108"/>
  <c r="V501" i="108"/>
  <c r="X501" i="108"/>
  <c r="Z501" i="108"/>
  <c r="R502" i="108"/>
  <c r="S502" i="108"/>
  <c r="W502" i="108"/>
  <c r="T502" i="108"/>
  <c r="Y502" i="108"/>
  <c r="V502" i="108"/>
  <c r="X502" i="108"/>
  <c r="Z502" i="108"/>
  <c r="R503" i="108"/>
  <c r="S503" i="108"/>
  <c r="W503" i="108"/>
  <c r="T503" i="108"/>
  <c r="Y503" i="108"/>
  <c r="V503" i="108"/>
  <c r="X503" i="108"/>
  <c r="Z503" i="108"/>
  <c r="R504" i="108"/>
  <c r="S504" i="108"/>
  <c r="W504" i="108"/>
  <c r="T504" i="108"/>
  <c r="Y504" i="108"/>
  <c r="V504" i="108"/>
  <c r="X504" i="108"/>
  <c r="Z504" i="108"/>
  <c r="R505" i="108"/>
  <c r="S505" i="108"/>
  <c r="W505" i="108"/>
  <c r="T505" i="108"/>
  <c r="Y505" i="108"/>
  <c r="V505" i="108"/>
  <c r="X505" i="108"/>
  <c r="Z505" i="108"/>
  <c r="R506" i="108"/>
  <c r="S506" i="108"/>
  <c r="W506" i="108"/>
  <c r="T506" i="108"/>
  <c r="Y506" i="108"/>
  <c r="V506" i="108"/>
  <c r="X506" i="108"/>
  <c r="Z506" i="108"/>
  <c r="R507" i="108"/>
  <c r="S507" i="108"/>
  <c r="W507" i="108"/>
  <c r="T507" i="108"/>
  <c r="Y507" i="108"/>
  <c r="V507" i="108"/>
  <c r="X507" i="108"/>
  <c r="Z507" i="108"/>
  <c r="R508" i="108"/>
  <c r="S508" i="108"/>
  <c r="W508" i="108"/>
  <c r="T508" i="108"/>
  <c r="Y508" i="108"/>
  <c r="V508" i="108"/>
  <c r="X508" i="108"/>
  <c r="Z508" i="108"/>
  <c r="R509" i="108"/>
  <c r="S509" i="108"/>
  <c r="W509" i="108"/>
  <c r="T509" i="108"/>
  <c r="Y509" i="108"/>
  <c r="V509" i="108"/>
  <c r="X509" i="108"/>
  <c r="Z509" i="108"/>
  <c r="R510" i="108"/>
  <c r="S510" i="108"/>
  <c r="W510" i="108"/>
  <c r="T510" i="108"/>
  <c r="Y510" i="108"/>
  <c r="V510" i="108"/>
  <c r="X510" i="108"/>
  <c r="Z510" i="108"/>
  <c r="R511" i="108"/>
  <c r="S511" i="108"/>
  <c r="W511" i="108"/>
  <c r="T511" i="108"/>
  <c r="Y511" i="108"/>
  <c r="V511" i="108"/>
  <c r="X511" i="108"/>
  <c r="Z511" i="108"/>
  <c r="R512" i="108"/>
  <c r="S512" i="108"/>
  <c r="W512" i="108"/>
  <c r="T512" i="108"/>
  <c r="Y512" i="108"/>
  <c r="V512" i="108"/>
  <c r="X512" i="108"/>
  <c r="Z512" i="108"/>
  <c r="R513" i="108"/>
  <c r="S513" i="108"/>
  <c r="W513" i="108"/>
  <c r="T513" i="108"/>
  <c r="Y513" i="108"/>
  <c r="V513" i="108"/>
  <c r="X513" i="108"/>
  <c r="Z513" i="108"/>
  <c r="R514" i="108"/>
  <c r="S514" i="108"/>
  <c r="W514" i="108"/>
  <c r="T514" i="108"/>
  <c r="Y514" i="108"/>
  <c r="V514" i="108"/>
  <c r="X514" i="108"/>
  <c r="Z514" i="108"/>
  <c r="R515" i="108"/>
  <c r="S515" i="108"/>
  <c r="W515" i="108"/>
  <c r="T515" i="108"/>
  <c r="Y515" i="108"/>
  <c r="V515" i="108"/>
  <c r="X515" i="108"/>
  <c r="Z515" i="108"/>
  <c r="R516" i="108"/>
  <c r="S516" i="108"/>
  <c r="W516" i="108"/>
  <c r="T516" i="108"/>
  <c r="Y516" i="108"/>
  <c r="V516" i="108"/>
  <c r="X516" i="108"/>
  <c r="Z516" i="108"/>
  <c r="R517" i="108"/>
  <c r="S517" i="108"/>
  <c r="W517" i="108"/>
  <c r="T517" i="108"/>
  <c r="Y517" i="108"/>
  <c r="V517" i="108"/>
  <c r="X517" i="108"/>
  <c r="Z517" i="108"/>
  <c r="R518" i="108"/>
  <c r="S518" i="108"/>
  <c r="W518" i="108"/>
  <c r="T518" i="108"/>
  <c r="Y518" i="108"/>
  <c r="V518" i="108"/>
  <c r="X518" i="108"/>
  <c r="Z518" i="108"/>
  <c r="R519" i="108"/>
  <c r="S519" i="108"/>
  <c r="W519" i="108"/>
  <c r="T519" i="108"/>
  <c r="Y519" i="108"/>
  <c r="V519" i="108"/>
  <c r="X519" i="108"/>
  <c r="Z519" i="108"/>
  <c r="R520" i="108"/>
  <c r="S520" i="108"/>
  <c r="W520" i="108"/>
  <c r="T520" i="108"/>
  <c r="Y520" i="108"/>
  <c r="V520" i="108"/>
  <c r="X520" i="108"/>
  <c r="Z520" i="108"/>
  <c r="R521" i="108"/>
  <c r="S521" i="108"/>
  <c r="W521" i="108"/>
  <c r="T521" i="108"/>
  <c r="Y521" i="108"/>
  <c r="V521" i="108"/>
  <c r="X521" i="108"/>
  <c r="Z521" i="108"/>
  <c r="R522" i="108"/>
  <c r="S522" i="108"/>
  <c r="W522" i="108"/>
  <c r="T522" i="108"/>
  <c r="Y522" i="108"/>
  <c r="V522" i="108"/>
  <c r="X522" i="108"/>
  <c r="Z522" i="108"/>
  <c r="R523" i="108"/>
  <c r="S523" i="108"/>
  <c r="W523" i="108"/>
  <c r="T523" i="108"/>
  <c r="Y523" i="108"/>
  <c r="V523" i="108"/>
  <c r="X523" i="108"/>
  <c r="Z523" i="108"/>
  <c r="R524" i="108"/>
  <c r="S524" i="108"/>
  <c r="W524" i="108"/>
  <c r="T524" i="108"/>
  <c r="Y524" i="108"/>
  <c r="V524" i="108"/>
  <c r="X524" i="108"/>
  <c r="Z524" i="108"/>
  <c r="R525" i="108"/>
  <c r="S525" i="108"/>
  <c r="W525" i="108"/>
  <c r="T525" i="108"/>
  <c r="Y525" i="108"/>
  <c r="V525" i="108"/>
  <c r="X525" i="108"/>
  <c r="Z525" i="108"/>
  <c r="R526" i="108"/>
  <c r="S526" i="108"/>
  <c r="W526" i="108"/>
  <c r="T526" i="108"/>
  <c r="Y526" i="108"/>
  <c r="V526" i="108"/>
  <c r="X526" i="108"/>
  <c r="Z526" i="108"/>
  <c r="R527" i="108"/>
  <c r="S527" i="108"/>
  <c r="W527" i="108"/>
  <c r="T527" i="108"/>
  <c r="Y527" i="108"/>
  <c r="V527" i="108"/>
  <c r="X527" i="108"/>
  <c r="Z527" i="108"/>
  <c r="R528" i="108"/>
  <c r="S528" i="108"/>
  <c r="W528" i="108"/>
  <c r="T528" i="108"/>
  <c r="Y528" i="108"/>
  <c r="V528" i="108"/>
  <c r="X528" i="108"/>
  <c r="Z528" i="108"/>
  <c r="R529" i="108"/>
  <c r="S529" i="108"/>
  <c r="W529" i="108"/>
  <c r="T529" i="108"/>
  <c r="Y529" i="108"/>
  <c r="V529" i="108"/>
  <c r="X529" i="108"/>
  <c r="Z529" i="108"/>
  <c r="R530" i="108"/>
  <c r="S530" i="108"/>
  <c r="W530" i="108"/>
  <c r="T530" i="108"/>
  <c r="Y530" i="108"/>
  <c r="V530" i="108"/>
  <c r="X530" i="108"/>
  <c r="Z530" i="108"/>
  <c r="R531" i="108"/>
  <c r="S531" i="108"/>
  <c r="W531" i="108"/>
  <c r="T531" i="108"/>
  <c r="Y531" i="108"/>
  <c r="V531" i="108"/>
  <c r="X531" i="108"/>
  <c r="Z531" i="108"/>
  <c r="R532" i="108"/>
  <c r="S532" i="108"/>
  <c r="W532" i="108"/>
  <c r="T532" i="108"/>
  <c r="Y532" i="108"/>
  <c r="V532" i="108"/>
  <c r="X532" i="108"/>
  <c r="Z532" i="108"/>
  <c r="R533" i="108"/>
  <c r="S533" i="108"/>
  <c r="W533" i="108"/>
  <c r="T533" i="108"/>
  <c r="Y533" i="108"/>
  <c r="V533" i="108"/>
  <c r="X533" i="108"/>
  <c r="Z533" i="108"/>
  <c r="R534" i="108"/>
  <c r="S534" i="108"/>
  <c r="W534" i="108"/>
  <c r="T534" i="108"/>
  <c r="Y534" i="108"/>
  <c r="V534" i="108"/>
  <c r="X534" i="108"/>
  <c r="Z534" i="108"/>
  <c r="R535" i="108"/>
  <c r="S535" i="108"/>
  <c r="W535" i="108"/>
  <c r="T535" i="108"/>
  <c r="Y535" i="108"/>
  <c r="V535" i="108"/>
  <c r="X535" i="108"/>
  <c r="Z535" i="108"/>
  <c r="R536" i="108"/>
  <c r="S536" i="108"/>
  <c r="W536" i="108"/>
  <c r="T536" i="108"/>
  <c r="Y536" i="108"/>
  <c r="V536" i="108"/>
  <c r="X536" i="108"/>
  <c r="Z536" i="108"/>
  <c r="R537" i="108"/>
  <c r="S537" i="108"/>
  <c r="W537" i="108"/>
  <c r="T537" i="108"/>
  <c r="Y537" i="108"/>
  <c r="V537" i="108"/>
  <c r="X537" i="108"/>
  <c r="Z537" i="108"/>
  <c r="R538" i="108"/>
  <c r="S538" i="108"/>
  <c r="W538" i="108"/>
  <c r="T538" i="108"/>
  <c r="Y538" i="108"/>
  <c r="V538" i="108"/>
  <c r="X538" i="108"/>
  <c r="Z538" i="108"/>
  <c r="R539" i="108"/>
  <c r="S539" i="108"/>
  <c r="W539" i="108"/>
  <c r="T539" i="108"/>
  <c r="Y539" i="108"/>
  <c r="V539" i="108"/>
  <c r="X539" i="108"/>
  <c r="Z539" i="108"/>
  <c r="R540" i="108"/>
  <c r="S540" i="108"/>
  <c r="W540" i="108"/>
  <c r="T540" i="108"/>
  <c r="Y540" i="108"/>
  <c r="V540" i="108"/>
  <c r="X540" i="108"/>
  <c r="Z540" i="108"/>
  <c r="R541" i="108"/>
  <c r="S541" i="108"/>
  <c r="W541" i="108"/>
  <c r="T541" i="108"/>
  <c r="Y541" i="108"/>
  <c r="V541" i="108"/>
  <c r="X541" i="108"/>
  <c r="Z541" i="108"/>
  <c r="R542" i="108"/>
  <c r="S542" i="108"/>
  <c r="W542" i="108"/>
  <c r="T542" i="108"/>
  <c r="Y542" i="108"/>
  <c r="V542" i="108"/>
  <c r="X542" i="108"/>
  <c r="Z542" i="108"/>
  <c r="R543" i="108"/>
  <c r="S543" i="108"/>
  <c r="W543" i="108"/>
  <c r="T543" i="108"/>
  <c r="Y543" i="108"/>
  <c r="V543" i="108"/>
  <c r="X543" i="108"/>
  <c r="Z543" i="108"/>
  <c r="R544" i="108"/>
  <c r="S544" i="108"/>
  <c r="W544" i="108"/>
  <c r="T544" i="108"/>
  <c r="Y544" i="108"/>
  <c r="V544" i="108"/>
  <c r="X544" i="108"/>
  <c r="Z544" i="108"/>
  <c r="R545" i="108"/>
  <c r="S545" i="108"/>
  <c r="W545" i="108"/>
  <c r="T545" i="108"/>
  <c r="Y545" i="108"/>
  <c r="V545" i="108"/>
  <c r="X545" i="108"/>
  <c r="Z545" i="108"/>
  <c r="R546" i="108"/>
  <c r="S546" i="108"/>
  <c r="W546" i="108"/>
  <c r="T546" i="108"/>
  <c r="Y546" i="108"/>
  <c r="V546" i="108"/>
  <c r="X546" i="108"/>
  <c r="Z546" i="108"/>
  <c r="R547" i="108"/>
  <c r="S547" i="108"/>
  <c r="W547" i="108"/>
  <c r="T547" i="108"/>
  <c r="Y547" i="108"/>
  <c r="V547" i="108"/>
  <c r="X547" i="108"/>
  <c r="Z547" i="108"/>
  <c r="R548" i="108"/>
  <c r="S548" i="108"/>
  <c r="W548" i="108"/>
  <c r="T548" i="108"/>
  <c r="Y548" i="108"/>
  <c r="V548" i="108"/>
  <c r="X548" i="108"/>
  <c r="Z548" i="108"/>
  <c r="R549" i="108"/>
  <c r="S549" i="108"/>
  <c r="W549" i="108"/>
  <c r="T549" i="108"/>
  <c r="Y549" i="108"/>
  <c r="V549" i="108"/>
  <c r="X549" i="108"/>
  <c r="Z549" i="108"/>
  <c r="R550" i="108"/>
  <c r="S550" i="108"/>
  <c r="W550" i="108"/>
  <c r="T550" i="108"/>
  <c r="Y550" i="108"/>
  <c r="V550" i="108"/>
  <c r="X550" i="108"/>
  <c r="Z550" i="108"/>
  <c r="R551" i="108"/>
  <c r="S551" i="108"/>
  <c r="W551" i="108"/>
  <c r="T551" i="108"/>
  <c r="Y551" i="108"/>
  <c r="V551" i="108"/>
  <c r="X551" i="108"/>
  <c r="Z551" i="108"/>
  <c r="R552" i="108"/>
  <c r="S552" i="108"/>
  <c r="W552" i="108"/>
  <c r="T552" i="108"/>
  <c r="Y552" i="108"/>
  <c r="V552" i="108"/>
  <c r="X552" i="108"/>
  <c r="Z552" i="108"/>
  <c r="R553" i="108"/>
  <c r="S553" i="108"/>
  <c r="W553" i="108"/>
  <c r="T553" i="108"/>
  <c r="Y553" i="108"/>
  <c r="V553" i="108"/>
  <c r="X553" i="108"/>
  <c r="Z553" i="108"/>
  <c r="R554" i="108"/>
  <c r="S554" i="108"/>
  <c r="W554" i="108"/>
  <c r="T554" i="108"/>
  <c r="Y554" i="108"/>
  <c r="V554" i="108"/>
  <c r="X554" i="108"/>
  <c r="Z554" i="108"/>
  <c r="R555" i="108"/>
  <c r="S555" i="108"/>
  <c r="W555" i="108"/>
  <c r="T555" i="108"/>
  <c r="Y555" i="108"/>
  <c r="V555" i="108"/>
  <c r="X555" i="108"/>
  <c r="Z555" i="108"/>
  <c r="R556" i="108"/>
  <c r="S556" i="108"/>
  <c r="W556" i="108"/>
  <c r="T556" i="108"/>
  <c r="Y556" i="108"/>
  <c r="V556" i="108"/>
  <c r="X556" i="108"/>
  <c r="Z556" i="108"/>
  <c r="R557" i="108"/>
  <c r="S557" i="108"/>
  <c r="W557" i="108"/>
  <c r="T557" i="108"/>
  <c r="Y557" i="108"/>
  <c r="V557" i="108"/>
  <c r="X557" i="108"/>
  <c r="Z557" i="108"/>
  <c r="R558" i="108"/>
  <c r="S558" i="108"/>
  <c r="W558" i="108"/>
  <c r="T558" i="108"/>
  <c r="Y558" i="108"/>
  <c r="V558" i="108"/>
  <c r="X558" i="108"/>
  <c r="Z558" i="108"/>
  <c r="R559" i="108"/>
  <c r="S559" i="108"/>
  <c r="W559" i="108"/>
  <c r="T559" i="108"/>
  <c r="Y559" i="108"/>
  <c r="V559" i="108"/>
  <c r="X559" i="108"/>
  <c r="Z559" i="108"/>
  <c r="R560" i="108"/>
  <c r="S560" i="108"/>
  <c r="W560" i="108"/>
  <c r="T560" i="108"/>
  <c r="Y560" i="108"/>
  <c r="V560" i="108"/>
  <c r="X560" i="108"/>
  <c r="Z560" i="108"/>
  <c r="R561" i="108"/>
  <c r="S561" i="108"/>
  <c r="W561" i="108"/>
  <c r="T561" i="108"/>
  <c r="Y561" i="108"/>
  <c r="V561" i="108"/>
  <c r="X561" i="108"/>
  <c r="Z561" i="108"/>
  <c r="R562" i="108"/>
  <c r="S562" i="108"/>
  <c r="W562" i="108"/>
  <c r="T562" i="108"/>
  <c r="Y562" i="108"/>
  <c r="V562" i="108"/>
  <c r="X562" i="108"/>
  <c r="Z562" i="108"/>
  <c r="R563" i="108"/>
  <c r="S563" i="108"/>
  <c r="W563" i="108"/>
  <c r="T563" i="108"/>
  <c r="Y563" i="108"/>
  <c r="V563" i="108"/>
  <c r="X563" i="108"/>
  <c r="Z563" i="108"/>
  <c r="R564" i="108"/>
  <c r="S564" i="108"/>
  <c r="W564" i="108"/>
  <c r="T564" i="108"/>
  <c r="Y564" i="108"/>
  <c r="V564" i="108"/>
  <c r="X564" i="108"/>
  <c r="Z564" i="108"/>
  <c r="R565" i="108"/>
  <c r="S565" i="108"/>
  <c r="W565" i="108"/>
  <c r="T565" i="108"/>
  <c r="Y565" i="108"/>
  <c r="V565" i="108"/>
  <c r="X565" i="108"/>
  <c r="Z565" i="108"/>
  <c r="R566" i="108"/>
  <c r="S566" i="108"/>
  <c r="W566" i="108"/>
  <c r="T566" i="108"/>
  <c r="Y566" i="108"/>
  <c r="V566" i="108"/>
  <c r="X566" i="108"/>
  <c r="Z566" i="108"/>
  <c r="R567" i="108"/>
  <c r="S567" i="108"/>
  <c r="W567" i="108"/>
  <c r="T567" i="108"/>
  <c r="Y567" i="108"/>
  <c r="V567" i="108"/>
  <c r="X567" i="108"/>
  <c r="Z567" i="108"/>
  <c r="R568" i="108"/>
  <c r="S568" i="108"/>
  <c r="W568" i="108"/>
  <c r="T568" i="108"/>
  <c r="Y568" i="108"/>
  <c r="V568" i="108"/>
  <c r="X568" i="108"/>
  <c r="Z568" i="108"/>
  <c r="R569" i="108"/>
  <c r="S569" i="108"/>
  <c r="W569" i="108"/>
  <c r="T569" i="108"/>
  <c r="Y569" i="108"/>
  <c r="V569" i="108"/>
  <c r="X569" i="108"/>
  <c r="Z569" i="108"/>
  <c r="R570" i="108"/>
  <c r="S570" i="108"/>
  <c r="W570" i="108"/>
  <c r="T570" i="108"/>
  <c r="Y570" i="108"/>
  <c r="V570" i="108"/>
  <c r="X570" i="108"/>
  <c r="Z570" i="108"/>
  <c r="R571" i="108"/>
  <c r="S571" i="108"/>
  <c r="W571" i="108"/>
  <c r="T571" i="108"/>
  <c r="Y571" i="108"/>
  <c r="V571" i="108"/>
  <c r="X571" i="108"/>
  <c r="Z571" i="108"/>
  <c r="R572" i="108"/>
  <c r="S572" i="108"/>
  <c r="W572" i="108"/>
  <c r="T572" i="108"/>
  <c r="Y572" i="108"/>
  <c r="V572" i="108"/>
  <c r="X572" i="108"/>
  <c r="Z572" i="108"/>
  <c r="R573" i="108"/>
  <c r="S573" i="108"/>
  <c r="W573" i="108"/>
  <c r="T573" i="108"/>
  <c r="Y573" i="108"/>
  <c r="V573" i="108"/>
  <c r="X573" i="108"/>
  <c r="Z573" i="108"/>
  <c r="R574" i="108"/>
  <c r="S574" i="108"/>
  <c r="W574" i="108"/>
  <c r="T574" i="108"/>
  <c r="Y574" i="108"/>
  <c r="V574" i="108"/>
  <c r="X574" i="108"/>
  <c r="Z574" i="108"/>
  <c r="R575" i="108"/>
  <c r="S575" i="108"/>
  <c r="W575" i="108"/>
  <c r="T575" i="108"/>
  <c r="Y575" i="108"/>
  <c r="V575" i="108"/>
  <c r="X575" i="108"/>
  <c r="Z575" i="108"/>
  <c r="R576" i="108"/>
  <c r="S576" i="108"/>
  <c r="W576" i="108"/>
  <c r="T576" i="108"/>
  <c r="Y576" i="108"/>
  <c r="V576" i="108"/>
  <c r="X576" i="108"/>
  <c r="Z576" i="108"/>
  <c r="R577" i="108"/>
  <c r="S577" i="108"/>
  <c r="W577" i="108"/>
  <c r="T577" i="108"/>
  <c r="Y577" i="108"/>
  <c r="V577" i="108"/>
  <c r="X577" i="108"/>
  <c r="Z577" i="108"/>
  <c r="R578" i="108"/>
  <c r="S578" i="108"/>
  <c r="W578" i="108"/>
  <c r="T578" i="108"/>
  <c r="Y578" i="108"/>
  <c r="V578" i="108"/>
  <c r="X578" i="108"/>
  <c r="Z578" i="108"/>
  <c r="R579" i="108"/>
  <c r="S579" i="108"/>
  <c r="W579" i="108"/>
  <c r="T579" i="108"/>
  <c r="Y579" i="108"/>
  <c r="V579" i="108"/>
  <c r="X579" i="108"/>
  <c r="Z579" i="108"/>
  <c r="R580" i="108"/>
  <c r="S580" i="108"/>
  <c r="W580" i="108"/>
  <c r="T580" i="108"/>
  <c r="Y580" i="108"/>
  <c r="V580" i="108"/>
  <c r="X580" i="108"/>
  <c r="Z580" i="108"/>
  <c r="R581" i="108"/>
  <c r="S581" i="108"/>
  <c r="W581" i="108"/>
  <c r="T581" i="108"/>
  <c r="Y581" i="108"/>
  <c r="V581" i="108"/>
  <c r="X581" i="108"/>
  <c r="Z581" i="108"/>
  <c r="R582" i="108"/>
  <c r="S582" i="108"/>
  <c r="W582" i="108"/>
  <c r="T582" i="108"/>
  <c r="Y582" i="108"/>
  <c r="V582" i="108"/>
  <c r="X582" i="108"/>
  <c r="Z582" i="108"/>
  <c r="R583" i="108"/>
  <c r="S583" i="108"/>
  <c r="W583" i="108"/>
  <c r="T583" i="108"/>
  <c r="Y583" i="108"/>
  <c r="V583" i="108"/>
  <c r="X583" i="108"/>
  <c r="Z583" i="108"/>
  <c r="R584" i="108"/>
  <c r="S584" i="108"/>
  <c r="W584" i="108"/>
  <c r="T584" i="108"/>
  <c r="Y584" i="108"/>
  <c r="V584" i="108"/>
  <c r="X584" i="108"/>
  <c r="Z584" i="108"/>
  <c r="R585" i="108"/>
  <c r="S585" i="108"/>
  <c r="W585" i="108"/>
  <c r="T585" i="108"/>
  <c r="Y585" i="108"/>
  <c r="V585" i="108"/>
  <c r="X585" i="108"/>
  <c r="Z585" i="108"/>
  <c r="R586" i="108"/>
  <c r="S586" i="108"/>
  <c r="W586" i="108"/>
  <c r="T586" i="108"/>
  <c r="Y586" i="108"/>
  <c r="V586" i="108"/>
  <c r="X586" i="108"/>
  <c r="Z586" i="108"/>
  <c r="R587" i="108"/>
  <c r="S587" i="108"/>
  <c r="W587" i="108"/>
  <c r="T587" i="108"/>
  <c r="Y587" i="108"/>
  <c r="V587" i="108"/>
  <c r="X587" i="108"/>
  <c r="Z587" i="108"/>
  <c r="R588" i="108"/>
  <c r="S588" i="108"/>
  <c r="W588" i="108"/>
  <c r="T588" i="108"/>
  <c r="Y588" i="108"/>
  <c r="V588" i="108"/>
  <c r="X588" i="108"/>
  <c r="Z588" i="108"/>
  <c r="R589" i="108"/>
  <c r="S589" i="108"/>
  <c r="W589" i="108"/>
  <c r="T589" i="108"/>
  <c r="Y589" i="108"/>
  <c r="V589" i="108"/>
  <c r="X589" i="108"/>
  <c r="Z589" i="108"/>
  <c r="R590" i="108"/>
  <c r="S590" i="108"/>
  <c r="W590" i="108"/>
  <c r="T590" i="108"/>
  <c r="Y590" i="108"/>
  <c r="V590" i="108"/>
  <c r="X590" i="108"/>
  <c r="Z590" i="108"/>
  <c r="R591" i="108"/>
  <c r="S591" i="108"/>
  <c r="W591" i="108"/>
  <c r="T591" i="108"/>
  <c r="Y591" i="108"/>
  <c r="V591" i="108"/>
  <c r="X591" i="108"/>
  <c r="Z591" i="108"/>
  <c r="R592" i="108"/>
  <c r="S592" i="108"/>
  <c r="W592" i="108"/>
  <c r="T592" i="108"/>
  <c r="Y592" i="108"/>
  <c r="V592" i="108"/>
  <c r="X592" i="108"/>
  <c r="Z592" i="108"/>
  <c r="R593" i="108"/>
  <c r="S593" i="108"/>
  <c r="W593" i="108"/>
  <c r="T593" i="108"/>
  <c r="Y593" i="108"/>
  <c r="V593" i="108"/>
  <c r="X593" i="108"/>
  <c r="Z593" i="108"/>
  <c r="R594" i="108"/>
  <c r="S594" i="108"/>
  <c r="W594" i="108"/>
  <c r="T594" i="108"/>
  <c r="Y594" i="108"/>
  <c r="V594" i="108"/>
  <c r="X594" i="108"/>
  <c r="Z594" i="108"/>
  <c r="R595" i="108"/>
  <c r="S595" i="108"/>
  <c r="W595" i="108"/>
  <c r="T595" i="108"/>
  <c r="Y595" i="108"/>
  <c r="V595" i="108"/>
  <c r="X595" i="108"/>
  <c r="Z595" i="108"/>
  <c r="R596" i="108"/>
  <c r="S596" i="108"/>
  <c r="W596" i="108"/>
  <c r="T596" i="108"/>
  <c r="Y596" i="108"/>
  <c r="V596" i="108"/>
  <c r="X596" i="108"/>
  <c r="Z596" i="108"/>
  <c r="R597" i="108"/>
  <c r="S597" i="108"/>
  <c r="W597" i="108"/>
  <c r="T597" i="108"/>
  <c r="Y597" i="108"/>
  <c r="V597" i="108"/>
  <c r="X597" i="108"/>
  <c r="Z597" i="108"/>
  <c r="R598" i="108"/>
  <c r="S598" i="108"/>
  <c r="W598" i="108"/>
  <c r="T598" i="108"/>
  <c r="Y598" i="108"/>
  <c r="V598" i="108"/>
  <c r="X598" i="108"/>
  <c r="Z598" i="108"/>
  <c r="R599" i="108"/>
  <c r="S599" i="108"/>
  <c r="W599" i="108"/>
  <c r="T599" i="108"/>
  <c r="Y599" i="108"/>
  <c r="V599" i="108"/>
  <c r="X599" i="108"/>
  <c r="Z599" i="108"/>
  <c r="R600" i="108"/>
  <c r="S600" i="108"/>
  <c r="W600" i="108"/>
  <c r="T600" i="108"/>
  <c r="Y600" i="108"/>
  <c r="V600" i="108"/>
  <c r="X600" i="108"/>
  <c r="Z600" i="108"/>
  <c r="R601" i="108"/>
  <c r="S601" i="108"/>
  <c r="W601" i="108"/>
  <c r="T601" i="108"/>
  <c r="Y601" i="108"/>
  <c r="V601" i="108"/>
  <c r="X601" i="108"/>
  <c r="Z601" i="108"/>
  <c r="R602" i="108"/>
  <c r="S602" i="108"/>
  <c r="W602" i="108"/>
  <c r="T602" i="108"/>
  <c r="Y602" i="108"/>
  <c r="V602" i="108"/>
  <c r="X602" i="108"/>
  <c r="Z602" i="108"/>
  <c r="R603" i="108"/>
  <c r="S603" i="108"/>
  <c r="W603" i="108"/>
  <c r="T603" i="108"/>
  <c r="Y603" i="108"/>
  <c r="V603" i="108"/>
  <c r="X603" i="108"/>
  <c r="Z603" i="108"/>
  <c r="R604" i="108"/>
  <c r="S604" i="108"/>
  <c r="W604" i="108"/>
  <c r="T604" i="108"/>
  <c r="Y604" i="108"/>
  <c r="V604" i="108"/>
  <c r="X604" i="108"/>
  <c r="Z604" i="108"/>
  <c r="R605" i="108"/>
  <c r="S605" i="108"/>
  <c r="W605" i="108"/>
  <c r="T605" i="108"/>
  <c r="Y605" i="108"/>
  <c r="V605" i="108"/>
  <c r="X605" i="108"/>
  <c r="Z605" i="108"/>
  <c r="R606" i="108"/>
  <c r="S606" i="108"/>
  <c r="W606" i="108"/>
  <c r="T606" i="108"/>
  <c r="Y606" i="108"/>
  <c r="V606" i="108"/>
  <c r="X606" i="108"/>
  <c r="Z606" i="108"/>
  <c r="R607" i="108"/>
  <c r="S607" i="108"/>
  <c r="W607" i="108"/>
  <c r="T607" i="108"/>
  <c r="Y607" i="108"/>
  <c r="V607" i="108"/>
  <c r="X607" i="108"/>
  <c r="Z607" i="108"/>
  <c r="R608" i="108"/>
  <c r="S608" i="108"/>
  <c r="W608" i="108"/>
  <c r="T608" i="108"/>
  <c r="Y608" i="108"/>
  <c r="V608" i="108"/>
  <c r="X608" i="108"/>
  <c r="Z608" i="108"/>
  <c r="R609" i="108"/>
  <c r="S609" i="108"/>
  <c r="W609" i="108"/>
  <c r="T609" i="108"/>
  <c r="Y609" i="108"/>
  <c r="V609" i="108"/>
  <c r="X609" i="108"/>
  <c r="Z609" i="108"/>
  <c r="R610" i="108"/>
  <c r="S610" i="108"/>
  <c r="W610" i="108"/>
  <c r="T610" i="108"/>
  <c r="Y610" i="108"/>
  <c r="V610" i="108"/>
  <c r="X610" i="108"/>
  <c r="Z610" i="108"/>
  <c r="R611" i="108"/>
  <c r="S611" i="108"/>
  <c r="W611" i="108"/>
  <c r="T611" i="108"/>
  <c r="Y611" i="108"/>
  <c r="V611" i="108"/>
  <c r="X611" i="108"/>
  <c r="Z611" i="108"/>
  <c r="R612" i="108"/>
  <c r="S612" i="108"/>
  <c r="W612" i="108"/>
  <c r="T612" i="108"/>
  <c r="Y612" i="108"/>
  <c r="V612" i="108"/>
  <c r="X612" i="108"/>
  <c r="Z612" i="108"/>
  <c r="R613" i="108"/>
  <c r="S613" i="108"/>
  <c r="W613" i="108"/>
  <c r="T613" i="108"/>
  <c r="Y613" i="108"/>
  <c r="V613" i="108"/>
  <c r="X613" i="108"/>
  <c r="Z613" i="108"/>
  <c r="R614" i="108"/>
  <c r="S614" i="108"/>
  <c r="W614" i="108"/>
  <c r="T614" i="108"/>
  <c r="Y614" i="108"/>
  <c r="V614" i="108"/>
  <c r="X614" i="108"/>
  <c r="Z614" i="108"/>
  <c r="R615" i="108"/>
  <c r="S615" i="108"/>
  <c r="W615" i="108"/>
  <c r="T615" i="108"/>
  <c r="Y615" i="108"/>
  <c r="V615" i="108"/>
  <c r="X615" i="108"/>
  <c r="Z615" i="108"/>
  <c r="R616" i="108"/>
  <c r="S616" i="108"/>
  <c r="W616" i="108"/>
  <c r="T616" i="108"/>
  <c r="Y616" i="108"/>
  <c r="V616" i="108"/>
  <c r="X616" i="108"/>
  <c r="Z616" i="108"/>
  <c r="R617" i="108"/>
  <c r="S617" i="108"/>
  <c r="W617" i="108"/>
  <c r="T617" i="108"/>
  <c r="Y617" i="108"/>
  <c r="V617" i="108"/>
  <c r="X617" i="108"/>
  <c r="Z617" i="108"/>
  <c r="R618" i="108"/>
  <c r="S618" i="108"/>
  <c r="W618" i="108"/>
  <c r="T618" i="108"/>
  <c r="Y618" i="108"/>
  <c r="V618" i="108"/>
  <c r="X618" i="108"/>
  <c r="Z618" i="108"/>
  <c r="R619" i="108"/>
  <c r="S619" i="108"/>
  <c r="W619" i="108"/>
  <c r="T619" i="108"/>
  <c r="Y619" i="108"/>
  <c r="V619" i="108"/>
  <c r="X619" i="108"/>
  <c r="Z619" i="108"/>
  <c r="R620" i="108"/>
  <c r="S620" i="108"/>
  <c r="W620" i="108"/>
  <c r="T620" i="108"/>
  <c r="Y620" i="108"/>
  <c r="V620" i="108"/>
  <c r="X620" i="108"/>
  <c r="Z620" i="108"/>
  <c r="R621" i="108"/>
  <c r="S621" i="108"/>
  <c r="W621" i="108"/>
  <c r="T621" i="108"/>
  <c r="Y621" i="108"/>
  <c r="V621" i="108"/>
  <c r="X621" i="108"/>
  <c r="Z621" i="108"/>
  <c r="R622" i="108"/>
  <c r="S622" i="108"/>
  <c r="W622" i="108"/>
  <c r="T622" i="108"/>
  <c r="Y622" i="108"/>
  <c r="V622" i="108"/>
  <c r="X622" i="108"/>
  <c r="Z622" i="108"/>
  <c r="R623" i="108"/>
  <c r="S623" i="108"/>
  <c r="W623" i="108"/>
  <c r="T623" i="108"/>
  <c r="Y623" i="108"/>
  <c r="V623" i="108"/>
  <c r="X623" i="108"/>
  <c r="Z623" i="108"/>
  <c r="R624" i="108"/>
  <c r="S624" i="108"/>
  <c r="W624" i="108"/>
  <c r="T624" i="108"/>
  <c r="Y624" i="108"/>
  <c r="V624" i="108"/>
  <c r="X624" i="108"/>
  <c r="Z624" i="108"/>
  <c r="R625" i="108"/>
  <c r="S625" i="108"/>
  <c r="W625" i="108"/>
  <c r="T625" i="108"/>
  <c r="Y625" i="108"/>
  <c r="V625" i="108"/>
  <c r="X625" i="108"/>
  <c r="Z625" i="108"/>
  <c r="R626" i="108"/>
  <c r="S626" i="108"/>
  <c r="W626" i="108"/>
  <c r="T626" i="108"/>
  <c r="Y626" i="108"/>
  <c r="V626" i="108"/>
  <c r="X626" i="108"/>
  <c r="Z626" i="108"/>
  <c r="R627" i="108"/>
  <c r="S627" i="108"/>
  <c r="W627" i="108"/>
  <c r="T627" i="108"/>
  <c r="Y627" i="108"/>
  <c r="V627" i="108"/>
  <c r="X627" i="108"/>
  <c r="Z627" i="108"/>
  <c r="R628" i="108"/>
  <c r="S628" i="108"/>
  <c r="W628" i="108"/>
  <c r="T628" i="108"/>
  <c r="Y628" i="108"/>
  <c r="V628" i="108"/>
  <c r="X628" i="108"/>
  <c r="Z628" i="108"/>
  <c r="R629" i="108"/>
  <c r="S629" i="108"/>
  <c r="W629" i="108"/>
  <c r="T629" i="108"/>
  <c r="Y629" i="108"/>
  <c r="V629" i="108"/>
  <c r="X629" i="108"/>
  <c r="Z629" i="108"/>
  <c r="R630" i="108"/>
  <c r="S630" i="108"/>
  <c r="W630" i="108"/>
  <c r="T630" i="108"/>
  <c r="Y630" i="108"/>
  <c r="V630" i="108"/>
  <c r="X630" i="108"/>
  <c r="Z630" i="108"/>
  <c r="R631" i="108"/>
  <c r="S631" i="108"/>
  <c r="W631" i="108"/>
  <c r="T631" i="108"/>
  <c r="Y631" i="108"/>
  <c r="V631" i="108"/>
  <c r="X631" i="108"/>
  <c r="Z631" i="108"/>
  <c r="R632" i="108"/>
  <c r="S632" i="108"/>
  <c r="W632" i="108"/>
  <c r="T632" i="108"/>
  <c r="Y632" i="108"/>
  <c r="V632" i="108"/>
  <c r="X632" i="108"/>
  <c r="Z632" i="108"/>
  <c r="R633" i="108"/>
  <c r="S633" i="108"/>
  <c r="W633" i="108"/>
  <c r="T633" i="108"/>
  <c r="Y633" i="108"/>
  <c r="V633" i="108"/>
  <c r="X633" i="108"/>
  <c r="Z633" i="108"/>
  <c r="R634" i="108"/>
  <c r="S634" i="108"/>
  <c r="W634" i="108"/>
  <c r="T634" i="108"/>
  <c r="Y634" i="108"/>
  <c r="V634" i="108"/>
  <c r="X634" i="108"/>
  <c r="Z634" i="108"/>
  <c r="R635" i="108"/>
  <c r="S635" i="108"/>
  <c r="W635" i="108"/>
  <c r="T635" i="108"/>
  <c r="Y635" i="108"/>
  <c r="V635" i="108"/>
  <c r="X635" i="108"/>
  <c r="Z635" i="108"/>
  <c r="R636" i="108"/>
  <c r="S636" i="108"/>
  <c r="W636" i="108"/>
  <c r="T636" i="108"/>
  <c r="Y636" i="108"/>
  <c r="V636" i="108"/>
  <c r="X636" i="108"/>
  <c r="Z636" i="108"/>
  <c r="R637" i="108"/>
  <c r="S637" i="108"/>
  <c r="W637" i="108"/>
  <c r="T637" i="108"/>
  <c r="Y637" i="108"/>
  <c r="V637" i="108"/>
  <c r="X637" i="108"/>
  <c r="Z637" i="108"/>
  <c r="R638" i="108"/>
  <c r="S638" i="108"/>
  <c r="W638" i="108"/>
  <c r="T638" i="108"/>
  <c r="Y638" i="108"/>
  <c r="V638" i="108"/>
  <c r="X638" i="108"/>
  <c r="Z638" i="108"/>
  <c r="R639" i="108"/>
  <c r="S639" i="108"/>
  <c r="W639" i="108"/>
  <c r="T639" i="108"/>
  <c r="Y639" i="108"/>
  <c r="V639" i="108"/>
  <c r="X639" i="108"/>
  <c r="Z639" i="108"/>
  <c r="R640" i="108"/>
  <c r="S640" i="108"/>
  <c r="W640" i="108"/>
  <c r="T640" i="108"/>
  <c r="Y640" i="108"/>
  <c r="V640" i="108"/>
  <c r="X640" i="108"/>
  <c r="Z640" i="108"/>
  <c r="R641" i="108"/>
  <c r="S641" i="108"/>
  <c r="W641" i="108"/>
  <c r="T641" i="108"/>
  <c r="Y641" i="108"/>
  <c r="V641" i="108"/>
  <c r="X641" i="108"/>
  <c r="Z641" i="108"/>
  <c r="R642" i="108"/>
  <c r="S642" i="108"/>
  <c r="W642" i="108"/>
  <c r="T642" i="108"/>
  <c r="Y642" i="108"/>
  <c r="V642" i="108"/>
  <c r="X642" i="108"/>
  <c r="Z642" i="108"/>
  <c r="R643" i="108"/>
  <c r="S643" i="108"/>
  <c r="W643" i="108"/>
  <c r="T643" i="108"/>
  <c r="Y643" i="108"/>
  <c r="V643" i="108"/>
  <c r="X643" i="108"/>
  <c r="Z643" i="108"/>
  <c r="R644" i="108"/>
  <c r="S644" i="108"/>
  <c r="W644" i="108"/>
  <c r="T644" i="108"/>
  <c r="Y644" i="108"/>
  <c r="V644" i="108"/>
  <c r="X644" i="108"/>
  <c r="Z644" i="108"/>
  <c r="R645" i="108"/>
  <c r="S645" i="108"/>
  <c r="W645" i="108"/>
  <c r="T645" i="108"/>
  <c r="Y645" i="108"/>
  <c r="V645" i="108"/>
  <c r="X645" i="108"/>
  <c r="Z645" i="108"/>
  <c r="R646" i="108"/>
  <c r="S646" i="108"/>
  <c r="W646" i="108"/>
  <c r="T646" i="108"/>
  <c r="Y646" i="108"/>
  <c r="V646" i="108"/>
  <c r="X646" i="108"/>
  <c r="Z646" i="108"/>
  <c r="R647" i="108"/>
  <c r="S647" i="108"/>
  <c r="W647" i="108"/>
  <c r="T647" i="108"/>
  <c r="Y647" i="108"/>
  <c r="V647" i="108"/>
  <c r="X647" i="108"/>
  <c r="Z647" i="108"/>
  <c r="R648" i="108"/>
  <c r="S648" i="108"/>
  <c r="W648" i="108"/>
  <c r="T648" i="108"/>
  <c r="Y648" i="108"/>
  <c r="V648" i="108"/>
  <c r="X648" i="108"/>
  <c r="Z648" i="108"/>
  <c r="R649" i="108"/>
  <c r="S649" i="108"/>
  <c r="W649" i="108"/>
  <c r="T649" i="108"/>
  <c r="Y649" i="108"/>
  <c r="V649" i="108"/>
  <c r="X649" i="108"/>
  <c r="Z649" i="108"/>
  <c r="R650" i="108"/>
  <c r="S650" i="108"/>
  <c r="W650" i="108"/>
  <c r="T650" i="108"/>
  <c r="Y650" i="108"/>
  <c r="V650" i="108"/>
  <c r="X650" i="108"/>
  <c r="Z650" i="108"/>
  <c r="R651" i="108"/>
  <c r="S651" i="108"/>
  <c r="W651" i="108"/>
  <c r="T651" i="108"/>
  <c r="Y651" i="108"/>
  <c r="V651" i="108"/>
  <c r="X651" i="108"/>
  <c r="Z651" i="108"/>
  <c r="R652" i="108"/>
  <c r="S652" i="108"/>
  <c r="W652" i="108"/>
  <c r="T652" i="108"/>
  <c r="Y652" i="108"/>
  <c r="V652" i="108"/>
  <c r="X652" i="108"/>
  <c r="Z652" i="108"/>
  <c r="R653" i="108"/>
  <c r="S653" i="108"/>
  <c r="W653" i="108"/>
  <c r="T653" i="108"/>
  <c r="Y653" i="108"/>
  <c r="V653" i="108"/>
  <c r="X653" i="108"/>
  <c r="Z653" i="108"/>
  <c r="R654" i="108"/>
  <c r="S654" i="108"/>
  <c r="W654" i="108"/>
  <c r="T654" i="108"/>
  <c r="Y654" i="108"/>
  <c r="V654" i="108"/>
  <c r="X654" i="108"/>
  <c r="Z654" i="108"/>
  <c r="R655" i="108"/>
  <c r="S655" i="108"/>
  <c r="W655" i="108"/>
  <c r="T655" i="108"/>
  <c r="Y655" i="108"/>
  <c r="V655" i="108"/>
  <c r="X655" i="108"/>
  <c r="Z655" i="108"/>
  <c r="R656" i="108"/>
  <c r="S656" i="108"/>
  <c r="W656" i="108"/>
  <c r="T656" i="108"/>
  <c r="Y656" i="108"/>
  <c r="V656" i="108"/>
  <c r="X656" i="108"/>
  <c r="Z656" i="108"/>
  <c r="R657" i="108"/>
  <c r="S657" i="108"/>
  <c r="W657" i="108"/>
  <c r="T657" i="108"/>
  <c r="Y657" i="108"/>
  <c r="V657" i="108"/>
  <c r="X657" i="108"/>
  <c r="Z657" i="108"/>
  <c r="R658" i="108"/>
  <c r="S658" i="108"/>
  <c r="W658" i="108"/>
  <c r="T658" i="108"/>
  <c r="Y658" i="108"/>
  <c r="V658" i="108"/>
  <c r="X658" i="108"/>
  <c r="Z658" i="108"/>
  <c r="R659" i="108"/>
  <c r="S659" i="108"/>
  <c r="W659" i="108"/>
  <c r="T659" i="108"/>
  <c r="Y659" i="108"/>
  <c r="V659" i="108"/>
  <c r="X659" i="108"/>
  <c r="Z659" i="108"/>
  <c r="R660" i="108"/>
  <c r="S660" i="108"/>
  <c r="W660" i="108"/>
  <c r="T660" i="108"/>
  <c r="Y660" i="108"/>
  <c r="V660" i="108"/>
  <c r="X660" i="108"/>
  <c r="Z660" i="108"/>
  <c r="R661" i="108"/>
  <c r="S661" i="108"/>
  <c r="W661" i="108"/>
  <c r="T661" i="108"/>
  <c r="Y661" i="108"/>
  <c r="V661" i="108"/>
  <c r="X661" i="108"/>
  <c r="Z661" i="108"/>
  <c r="R662" i="108"/>
  <c r="S662" i="108"/>
  <c r="W662" i="108"/>
  <c r="T662" i="108"/>
  <c r="Y662" i="108"/>
  <c r="V662" i="108"/>
  <c r="X662" i="108"/>
  <c r="Z662" i="108"/>
  <c r="R663" i="108"/>
  <c r="S663" i="108"/>
  <c r="W663" i="108"/>
  <c r="T663" i="108"/>
  <c r="Y663" i="108"/>
  <c r="V663" i="108"/>
  <c r="X663" i="108"/>
  <c r="Z663" i="108"/>
  <c r="R664" i="108"/>
  <c r="S664" i="108"/>
  <c r="W664" i="108"/>
  <c r="T664" i="108"/>
  <c r="Y664" i="108"/>
  <c r="V664" i="108"/>
  <c r="X664" i="108"/>
  <c r="Z664" i="108"/>
  <c r="R665" i="108"/>
  <c r="S665" i="108"/>
  <c r="W665" i="108"/>
  <c r="T665" i="108"/>
  <c r="Y665" i="108"/>
  <c r="V665" i="108"/>
  <c r="X665" i="108"/>
  <c r="Z665" i="108"/>
  <c r="R666" i="108"/>
  <c r="S666" i="108"/>
  <c r="W666" i="108"/>
  <c r="T666" i="108"/>
  <c r="Y666" i="108"/>
  <c r="V666" i="108"/>
  <c r="X666" i="108"/>
  <c r="Z666" i="108"/>
  <c r="R667" i="108"/>
  <c r="S667" i="108"/>
  <c r="W667" i="108"/>
  <c r="T667" i="108"/>
  <c r="Y667" i="108"/>
  <c r="V667" i="108"/>
  <c r="X667" i="108"/>
  <c r="Z667" i="108"/>
  <c r="R668" i="108"/>
  <c r="S668" i="108"/>
  <c r="W668" i="108"/>
  <c r="T668" i="108"/>
  <c r="Y668" i="108"/>
  <c r="V668" i="108"/>
  <c r="X668" i="108"/>
  <c r="Z668" i="108"/>
  <c r="R669" i="108"/>
  <c r="S669" i="108"/>
  <c r="W669" i="108"/>
  <c r="T669" i="108"/>
  <c r="Y669" i="108"/>
  <c r="V669" i="108"/>
  <c r="X669" i="108"/>
  <c r="Z669" i="108"/>
  <c r="R670" i="108"/>
  <c r="S670" i="108"/>
  <c r="W670" i="108"/>
  <c r="T670" i="108"/>
  <c r="Y670" i="108"/>
  <c r="V670" i="108"/>
  <c r="X670" i="108"/>
  <c r="Z670" i="108"/>
  <c r="R671" i="108"/>
  <c r="S671" i="108"/>
  <c r="W671" i="108"/>
  <c r="T671" i="108"/>
  <c r="Y671" i="108"/>
  <c r="V671" i="108"/>
  <c r="X671" i="108"/>
  <c r="Z671" i="108"/>
  <c r="R672" i="108"/>
  <c r="S672" i="108"/>
  <c r="W672" i="108"/>
  <c r="T672" i="108"/>
  <c r="Y672" i="108"/>
  <c r="V672" i="108"/>
  <c r="X672" i="108"/>
  <c r="Z672" i="108"/>
  <c r="R673" i="108"/>
  <c r="S673" i="108"/>
  <c r="W673" i="108"/>
  <c r="T673" i="108"/>
  <c r="Y673" i="108"/>
  <c r="V673" i="108"/>
  <c r="X673" i="108"/>
  <c r="Z673" i="108"/>
  <c r="R674" i="108"/>
  <c r="S674" i="108"/>
  <c r="W674" i="108"/>
  <c r="T674" i="108"/>
  <c r="Y674" i="108"/>
  <c r="V674" i="108"/>
  <c r="X674" i="108"/>
  <c r="Z674" i="108"/>
  <c r="R681" i="108"/>
  <c r="S681" i="108"/>
  <c r="W681" i="108"/>
  <c r="T681" i="108"/>
  <c r="Y681" i="108"/>
  <c r="V681" i="108"/>
  <c r="X681" i="108"/>
  <c r="Z681" i="108"/>
  <c r="R682" i="108"/>
  <c r="S682" i="108"/>
  <c r="W682" i="108"/>
  <c r="T682" i="108"/>
  <c r="Y682" i="108"/>
  <c r="V682" i="108"/>
  <c r="X682" i="108"/>
  <c r="Z682" i="108"/>
  <c r="R684" i="108"/>
  <c r="S684" i="108"/>
  <c r="W684" i="108"/>
  <c r="T684" i="108"/>
  <c r="Y684" i="108"/>
  <c r="V684" i="108"/>
  <c r="X684" i="108"/>
  <c r="Z684" i="108"/>
  <c r="R685" i="108"/>
  <c r="S685" i="108"/>
  <c r="W685" i="108"/>
  <c r="T685" i="108"/>
  <c r="Y685" i="108"/>
  <c r="V685" i="108"/>
  <c r="X685" i="108"/>
  <c r="Z685" i="108"/>
  <c r="R686" i="108"/>
  <c r="S686" i="108"/>
  <c r="W686" i="108"/>
  <c r="T686" i="108"/>
  <c r="Y686" i="108"/>
  <c r="V686" i="108"/>
  <c r="X686" i="108"/>
  <c r="Z686" i="108"/>
  <c r="R687" i="108"/>
  <c r="S687" i="108"/>
  <c r="W687" i="108"/>
  <c r="T687" i="108"/>
  <c r="Y687" i="108"/>
  <c r="V687" i="108"/>
  <c r="X687" i="108"/>
  <c r="Z687" i="108"/>
  <c r="R688" i="108"/>
  <c r="S688" i="108"/>
  <c r="W688" i="108"/>
  <c r="T688" i="108"/>
  <c r="Y688" i="108"/>
  <c r="V688" i="108"/>
  <c r="X688" i="108"/>
  <c r="Z688" i="108"/>
  <c r="R689" i="108"/>
  <c r="S689" i="108"/>
  <c r="W689" i="108"/>
  <c r="T689" i="108"/>
  <c r="Y689" i="108"/>
  <c r="V689" i="108"/>
  <c r="X689" i="108"/>
  <c r="Z689" i="108"/>
  <c r="R690" i="108"/>
  <c r="S690" i="108"/>
  <c r="W690" i="108"/>
  <c r="T690" i="108"/>
  <c r="Y690" i="108"/>
  <c r="V690" i="108"/>
  <c r="X690" i="108"/>
  <c r="Z690" i="108"/>
  <c r="R691" i="108"/>
  <c r="S691" i="108"/>
  <c r="W691" i="108"/>
  <c r="T691" i="108"/>
  <c r="Y691" i="108"/>
  <c r="V691" i="108"/>
  <c r="X691" i="108"/>
  <c r="Z691" i="108"/>
  <c r="R693" i="108"/>
  <c r="S693" i="108"/>
  <c r="W693" i="108"/>
  <c r="T693" i="108"/>
  <c r="Y693" i="108"/>
  <c r="V693" i="108"/>
  <c r="X693" i="108"/>
  <c r="Z693" i="108"/>
  <c r="R694" i="108"/>
  <c r="S694" i="108"/>
  <c r="W694" i="108"/>
  <c r="T694" i="108"/>
  <c r="Y694" i="108"/>
  <c r="V694" i="108"/>
  <c r="X694" i="108"/>
  <c r="Z694" i="108"/>
  <c r="R696" i="108"/>
  <c r="S696" i="108"/>
  <c r="W696" i="108"/>
  <c r="T696" i="108"/>
  <c r="Y696" i="108"/>
  <c r="V696" i="108"/>
  <c r="X696" i="108"/>
  <c r="Z696" i="108"/>
  <c r="R697" i="108"/>
  <c r="S697" i="108"/>
  <c r="W697" i="108"/>
  <c r="T697" i="108"/>
  <c r="Y697" i="108"/>
  <c r="V697" i="108"/>
  <c r="X697" i="108"/>
  <c r="Z697" i="108"/>
  <c r="R698" i="108"/>
  <c r="S698" i="108"/>
  <c r="W698" i="108"/>
  <c r="T698" i="108"/>
  <c r="Y698" i="108"/>
  <c r="V698" i="108"/>
  <c r="X698" i="108"/>
  <c r="Z698" i="108"/>
  <c r="R699" i="108"/>
  <c r="S699" i="108"/>
  <c r="W699" i="108"/>
  <c r="T699" i="108"/>
  <c r="Y699" i="108"/>
  <c r="V699" i="108"/>
  <c r="X699" i="108"/>
  <c r="Z699" i="108"/>
  <c r="R700" i="108"/>
  <c r="S700" i="108"/>
  <c r="W700" i="108"/>
  <c r="T700" i="108"/>
  <c r="Y700" i="108"/>
  <c r="V700" i="108"/>
  <c r="X700" i="108"/>
  <c r="Z700" i="108"/>
  <c r="R701" i="108"/>
  <c r="S701" i="108"/>
  <c r="W701" i="108"/>
  <c r="T701" i="108"/>
  <c r="Y701" i="108"/>
  <c r="V701" i="108"/>
  <c r="X701" i="108"/>
  <c r="Z701" i="108"/>
  <c r="R702" i="108"/>
  <c r="S702" i="108"/>
  <c r="W702" i="108"/>
  <c r="T702" i="108"/>
  <c r="Y702" i="108"/>
  <c r="V702" i="108"/>
  <c r="X702" i="108"/>
  <c r="Z702" i="108"/>
  <c r="R703" i="108"/>
  <c r="S703" i="108"/>
  <c r="W703" i="108"/>
  <c r="T703" i="108"/>
  <c r="Y703" i="108"/>
  <c r="V703" i="108"/>
  <c r="X703" i="108"/>
  <c r="Z703" i="108"/>
  <c r="R704" i="108"/>
  <c r="S704" i="108"/>
  <c r="W704" i="108"/>
  <c r="T704" i="108"/>
  <c r="Y704" i="108"/>
  <c r="V704" i="108"/>
  <c r="X704" i="108"/>
  <c r="Z704" i="108"/>
  <c r="R705" i="108"/>
  <c r="S705" i="108"/>
  <c r="W705" i="108"/>
  <c r="T705" i="108"/>
  <c r="Y705" i="108"/>
  <c r="V705" i="108"/>
  <c r="X705" i="108"/>
  <c r="Z705" i="108"/>
  <c r="R706" i="108"/>
  <c r="S706" i="108"/>
  <c r="W706" i="108"/>
  <c r="T706" i="108"/>
  <c r="Y706" i="108"/>
  <c r="V706" i="108"/>
  <c r="X706" i="108"/>
  <c r="Z706" i="108"/>
  <c r="R707" i="108"/>
  <c r="S707" i="108"/>
  <c r="W707" i="108"/>
  <c r="T707" i="108"/>
  <c r="Y707" i="108"/>
  <c r="V707" i="108"/>
  <c r="X707" i="108"/>
  <c r="Z707" i="108"/>
  <c r="R708" i="108"/>
  <c r="S708" i="108"/>
  <c r="W708" i="108"/>
  <c r="T708" i="108"/>
  <c r="Y708" i="108"/>
  <c r="V708" i="108"/>
  <c r="X708" i="108"/>
  <c r="Z708" i="108"/>
  <c r="R709" i="108"/>
  <c r="S709" i="108"/>
  <c r="W709" i="108"/>
  <c r="T709" i="108"/>
  <c r="Y709" i="108"/>
  <c r="V709" i="108"/>
  <c r="X709" i="108"/>
  <c r="Z709" i="108"/>
  <c r="R710" i="108"/>
  <c r="S710" i="108"/>
  <c r="W710" i="108"/>
  <c r="T710" i="108"/>
  <c r="Y710" i="108"/>
  <c r="V710" i="108"/>
  <c r="X710" i="108"/>
  <c r="Z710" i="108"/>
  <c r="R711" i="108"/>
  <c r="S711" i="108"/>
  <c r="W711" i="108"/>
  <c r="T711" i="108"/>
  <c r="Y711" i="108"/>
  <c r="V711" i="108"/>
  <c r="X711" i="108"/>
  <c r="Z711" i="108"/>
  <c r="R712" i="108"/>
  <c r="S712" i="108"/>
  <c r="W712" i="108"/>
  <c r="T712" i="108"/>
  <c r="Y712" i="108"/>
  <c r="V712" i="108"/>
  <c r="X712" i="108"/>
  <c r="Z712" i="108"/>
  <c r="R713" i="108"/>
  <c r="S713" i="108"/>
  <c r="W713" i="108"/>
  <c r="T713" i="108"/>
  <c r="Y713" i="108"/>
  <c r="V713" i="108"/>
  <c r="X713" i="108"/>
  <c r="Z713" i="108"/>
  <c r="R714" i="108"/>
  <c r="S714" i="108"/>
  <c r="W714" i="108"/>
  <c r="T714" i="108"/>
  <c r="Y714" i="108"/>
  <c r="V714" i="108"/>
  <c r="X714" i="108"/>
  <c r="Z714" i="108"/>
  <c r="R715" i="108"/>
  <c r="S715" i="108"/>
  <c r="W715" i="108"/>
  <c r="T715" i="108"/>
  <c r="Y715" i="108"/>
  <c r="V715" i="108"/>
  <c r="X715" i="108"/>
  <c r="Z715" i="108"/>
  <c r="R716" i="108"/>
  <c r="S716" i="108"/>
  <c r="W716" i="108"/>
  <c r="T716" i="108"/>
  <c r="Y716" i="108"/>
  <c r="V716" i="108"/>
  <c r="X716" i="108"/>
  <c r="Z716" i="108"/>
  <c r="R717" i="108"/>
  <c r="S717" i="108"/>
  <c r="W717" i="108"/>
  <c r="T717" i="108"/>
  <c r="Y717" i="108"/>
  <c r="V717" i="108"/>
  <c r="X717" i="108"/>
  <c r="Z717" i="108"/>
  <c r="R718" i="108"/>
  <c r="S718" i="108"/>
  <c r="W718" i="108"/>
  <c r="T718" i="108"/>
  <c r="Y718" i="108"/>
  <c r="V718" i="108"/>
  <c r="X718" i="108"/>
  <c r="Z718" i="108"/>
  <c r="R719" i="108"/>
  <c r="S719" i="108"/>
  <c r="W719" i="108"/>
  <c r="T719" i="108"/>
  <c r="Y719" i="108"/>
  <c r="V719" i="108"/>
  <c r="X719" i="108"/>
  <c r="Z719" i="108"/>
  <c r="R720" i="108"/>
  <c r="S720" i="108"/>
  <c r="W720" i="108"/>
  <c r="T720" i="108"/>
  <c r="Y720" i="108"/>
  <c r="V720" i="108"/>
  <c r="X720" i="108"/>
  <c r="Z720" i="108"/>
  <c r="R721" i="108"/>
  <c r="S721" i="108"/>
  <c r="W721" i="108"/>
  <c r="T721" i="108"/>
  <c r="Y721" i="108"/>
  <c r="V721" i="108"/>
  <c r="X721" i="108"/>
  <c r="Z721" i="108"/>
  <c r="R722" i="108"/>
  <c r="S722" i="108"/>
  <c r="W722" i="108"/>
  <c r="T722" i="108"/>
  <c r="Y722" i="108"/>
  <c r="V722" i="108"/>
  <c r="X722" i="108"/>
  <c r="Z722" i="108"/>
  <c r="R723" i="108"/>
  <c r="S723" i="108"/>
  <c r="W723" i="108"/>
  <c r="T723" i="108"/>
  <c r="Y723" i="108"/>
  <c r="V723" i="108"/>
  <c r="X723" i="108"/>
  <c r="Z723" i="108"/>
  <c r="R724" i="108"/>
  <c r="S724" i="108"/>
  <c r="W724" i="108"/>
  <c r="T724" i="108"/>
  <c r="Y724" i="108"/>
  <c r="V724" i="108"/>
  <c r="X724" i="108"/>
  <c r="Z724" i="108"/>
  <c r="R725" i="108"/>
  <c r="S725" i="108"/>
  <c r="W725" i="108"/>
  <c r="T725" i="108"/>
  <c r="Y725" i="108"/>
  <c r="V725" i="108"/>
  <c r="X725" i="108"/>
  <c r="Z725" i="108"/>
  <c r="R726" i="108"/>
  <c r="S726" i="108"/>
  <c r="W726" i="108"/>
  <c r="T726" i="108"/>
  <c r="Y726" i="108"/>
  <c r="V726" i="108"/>
  <c r="X726" i="108"/>
  <c r="Z726" i="108"/>
  <c r="R727" i="108"/>
  <c r="S727" i="108"/>
  <c r="W727" i="108"/>
  <c r="T727" i="108"/>
  <c r="Y727" i="108"/>
  <c r="V727" i="108"/>
  <c r="X727" i="108"/>
  <c r="Z727" i="108"/>
  <c r="R728" i="108"/>
  <c r="S728" i="108"/>
  <c r="W728" i="108"/>
  <c r="T728" i="108"/>
  <c r="Y728" i="108"/>
  <c r="V728" i="108"/>
  <c r="X728" i="108"/>
  <c r="Z728" i="108"/>
  <c r="R729" i="108"/>
  <c r="S729" i="108"/>
  <c r="W729" i="108"/>
  <c r="T729" i="108"/>
  <c r="Y729" i="108"/>
  <c r="V729" i="108"/>
  <c r="X729" i="108"/>
  <c r="Z729" i="108"/>
  <c r="R730" i="108"/>
  <c r="S730" i="108"/>
  <c r="W730" i="108"/>
  <c r="T730" i="108"/>
  <c r="Y730" i="108"/>
  <c r="V730" i="108"/>
  <c r="X730" i="108"/>
  <c r="Z730" i="108"/>
  <c r="R731" i="108"/>
  <c r="S731" i="108"/>
  <c r="W731" i="108"/>
  <c r="T731" i="108"/>
  <c r="Y731" i="108"/>
  <c r="V731" i="108"/>
  <c r="X731" i="108"/>
  <c r="Z731" i="108"/>
  <c r="R732" i="108"/>
  <c r="S732" i="108"/>
  <c r="W732" i="108"/>
  <c r="T732" i="108"/>
  <c r="Y732" i="108"/>
  <c r="V732" i="108"/>
  <c r="X732" i="108"/>
  <c r="Z732" i="108"/>
  <c r="R733" i="108"/>
  <c r="S733" i="108"/>
  <c r="W733" i="108"/>
  <c r="T733" i="108"/>
  <c r="Y733" i="108"/>
  <c r="V733" i="108"/>
  <c r="X733" i="108"/>
  <c r="Z733" i="108"/>
  <c r="R734" i="108"/>
  <c r="S734" i="108"/>
  <c r="W734" i="108"/>
  <c r="T734" i="108"/>
  <c r="Y734" i="108"/>
  <c r="V734" i="108"/>
  <c r="X734" i="108"/>
  <c r="Z734" i="108"/>
  <c r="R735" i="108"/>
  <c r="S735" i="108"/>
  <c r="W735" i="108"/>
  <c r="T735" i="108"/>
  <c r="Y735" i="108"/>
  <c r="V735" i="108"/>
  <c r="X735" i="108"/>
  <c r="Z735" i="108"/>
  <c r="R736" i="108"/>
  <c r="S736" i="108"/>
  <c r="W736" i="108"/>
  <c r="T736" i="108"/>
  <c r="Y736" i="108"/>
  <c r="V736" i="108"/>
  <c r="X736" i="108"/>
  <c r="Z736" i="108"/>
  <c r="R737" i="108"/>
  <c r="S737" i="108"/>
  <c r="W737" i="108"/>
  <c r="T737" i="108"/>
  <c r="Y737" i="108"/>
  <c r="V737" i="108"/>
  <c r="X737" i="108"/>
  <c r="Z737" i="108"/>
  <c r="R738" i="108"/>
  <c r="S738" i="108"/>
  <c r="W738" i="108"/>
  <c r="T738" i="108"/>
  <c r="Y738" i="108"/>
  <c r="V738" i="108"/>
  <c r="X738" i="108"/>
  <c r="Z738" i="108"/>
  <c r="R739" i="108"/>
  <c r="S739" i="108"/>
  <c r="W739" i="108"/>
  <c r="T739" i="108"/>
  <c r="Y739" i="108"/>
  <c r="V739" i="108"/>
  <c r="X739" i="108"/>
  <c r="Z739" i="108"/>
  <c r="R740" i="108"/>
  <c r="S740" i="108"/>
  <c r="W740" i="108"/>
  <c r="T740" i="108"/>
  <c r="Y740" i="108"/>
  <c r="V740" i="108"/>
  <c r="X740" i="108"/>
  <c r="Z740" i="108"/>
  <c r="R741" i="108"/>
  <c r="S741" i="108"/>
  <c r="W741" i="108"/>
  <c r="T741" i="108"/>
  <c r="Y741" i="108"/>
  <c r="V741" i="108"/>
  <c r="X741" i="108"/>
  <c r="Z741" i="108"/>
  <c r="R742" i="108"/>
  <c r="S742" i="108"/>
  <c r="W742" i="108"/>
  <c r="T742" i="108"/>
  <c r="Y742" i="108"/>
  <c r="V742" i="108"/>
  <c r="X742" i="108"/>
  <c r="Z742" i="108"/>
  <c r="R743" i="108"/>
  <c r="S743" i="108"/>
  <c r="W743" i="108"/>
  <c r="T743" i="108"/>
  <c r="Y743" i="108"/>
  <c r="V743" i="108"/>
  <c r="X743" i="108"/>
  <c r="Z743" i="108"/>
  <c r="R744" i="108"/>
  <c r="S744" i="108"/>
  <c r="W744" i="108"/>
  <c r="T744" i="108"/>
  <c r="Y744" i="108"/>
  <c r="V744" i="108"/>
  <c r="X744" i="108"/>
  <c r="Z744" i="108"/>
  <c r="R745" i="108"/>
  <c r="S745" i="108"/>
  <c r="W745" i="108"/>
  <c r="T745" i="108"/>
  <c r="Y745" i="108"/>
  <c r="V745" i="108"/>
  <c r="X745" i="108"/>
  <c r="Z745" i="108"/>
  <c r="R746" i="108"/>
  <c r="S746" i="108"/>
  <c r="W746" i="108"/>
  <c r="T746" i="108"/>
  <c r="Y746" i="108"/>
  <c r="V746" i="108"/>
  <c r="X746" i="108"/>
  <c r="Z746" i="108"/>
  <c r="R747" i="108"/>
  <c r="S747" i="108"/>
  <c r="W747" i="108"/>
  <c r="T747" i="108"/>
  <c r="Y747" i="108"/>
  <c r="V747" i="108"/>
  <c r="X747" i="108"/>
  <c r="Z747" i="108"/>
  <c r="R748" i="108"/>
  <c r="S748" i="108"/>
  <c r="W748" i="108"/>
  <c r="T748" i="108"/>
  <c r="Y748" i="108"/>
  <c r="V748" i="108"/>
  <c r="X748" i="108"/>
  <c r="Z748" i="108"/>
  <c r="R749" i="108"/>
  <c r="S749" i="108"/>
  <c r="W749" i="108"/>
  <c r="T749" i="108"/>
  <c r="Y749" i="108"/>
  <c r="V749" i="108"/>
  <c r="X749" i="108"/>
  <c r="Z749" i="108"/>
  <c r="R750" i="108"/>
  <c r="S750" i="108"/>
  <c r="W750" i="108"/>
  <c r="T750" i="108"/>
  <c r="Y750" i="108"/>
  <c r="V750" i="108"/>
  <c r="X750" i="108"/>
  <c r="Z750" i="108"/>
  <c r="R751" i="108"/>
  <c r="S751" i="108"/>
  <c r="W751" i="108"/>
  <c r="T751" i="108"/>
  <c r="Y751" i="108"/>
  <c r="V751" i="108"/>
  <c r="X751" i="108"/>
  <c r="Z751" i="108"/>
  <c r="R752" i="108"/>
  <c r="S752" i="108"/>
  <c r="W752" i="108"/>
  <c r="T752" i="108"/>
  <c r="Y752" i="108"/>
  <c r="V752" i="108"/>
  <c r="X752" i="108"/>
  <c r="Z752" i="108"/>
  <c r="R753" i="108"/>
  <c r="S753" i="108"/>
  <c r="W753" i="108"/>
  <c r="T753" i="108"/>
  <c r="Y753" i="108"/>
  <c r="V753" i="108"/>
  <c r="X753" i="108"/>
  <c r="Z753" i="108"/>
  <c r="R754" i="108"/>
  <c r="S754" i="108"/>
  <c r="W754" i="108"/>
  <c r="T754" i="108"/>
  <c r="Y754" i="108"/>
  <c r="V754" i="108"/>
  <c r="X754" i="108"/>
  <c r="Z754" i="108"/>
  <c r="R755" i="108"/>
  <c r="S755" i="108"/>
  <c r="W755" i="108"/>
  <c r="T755" i="108"/>
  <c r="Y755" i="108"/>
  <c r="V755" i="108"/>
  <c r="X755" i="108"/>
  <c r="Z755" i="108"/>
  <c r="R756" i="108"/>
  <c r="S756" i="108"/>
  <c r="W756" i="108"/>
  <c r="T756" i="108"/>
  <c r="Y756" i="108"/>
  <c r="V756" i="108"/>
  <c r="X756" i="108"/>
  <c r="Z756" i="108"/>
  <c r="R757" i="108"/>
  <c r="S757" i="108"/>
  <c r="W757" i="108"/>
  <c r="T757" i="108"/>
  <c r="Y757" i="108"/>
  <c r="V757" i="108"/>
  <c r="X757" i="108"/>
  <c r="Z757" i="108"/>
  <c r="R758" i="108"/>
  <c r="S758" i="108"/>
  <c r="W758" i="108"/>
  <c r="T758" i="108"/>
  <c r="Y758" i="108"/>
  <c r="V758" i="108"/>
  <c r="X758" i="108"/>
  <c r="Z758" i="108"/>
  <c r="R759" i="108"/>
  <c r="S759" i="108"/>
  <c r="W759" i="108"/>
  <c r="T759" i="108"/>
  <c r="Y759" i="108"/>
  <c r="V759" i="108"/>
  <c r="X759" i="108"/>
  <c r="Z759" i="108"/>
  <c r="R760" i="108"/>
  <c r="S760" i="108"/>
  <c r="W760" i="108"/>
  <c r="T760" i="108"/>
  <c r="Y760" i="108"/>
  <c r="V760" i="108"/>
  <c r="X760" i="108"/>
  <c r="Z760" i="108"/>
  <c r="R761" i="108"/>
  <c r="S761" i="108"/>
  <c r="W761" i="108"/>
  <c r="T761" i="108"/>
  <c r="Y761" i="108"/>
  <c r="V761" i="108"/>
  <c r="X761" i="108"/>
  <c r="Z761" i="108"/>
  <c r="R762" i="108"/>
  <c r="S762" i="108"/>
  <c r="W762" i="108"/>
  <c r="T762" i="108"/>
  <c r="Y762" i="108"/>
  <c r="V762" i="108"/>
  <c r="X762" i="108"/>
  <c r="Z762" i="108"/>
  <c r="R763" i="108"/>
  <c r="S763" i="108"/>
  <c r="W763" i="108"/>
  <c r="T763" i="108"/>
  <c r="Y763" i="108"/>
  <c r="V763" i="108"/>
  <c r="X763" i="108"/>
  <c r="Z763" i="108"/>
  <c r="R764" i="108"/>
  <c r="S764" i="108"/>
  <c r="W764" i="108"/>
  <c r="T764" i="108"/>
  <c r="Y764" i="108"/>
  <c r="V764" i="108"/>
  <c r="X764" i="108"/>
  <c r="Z764" i="108"/>
  <c r="R765" i="108"/>
  <c r="S765" i="108"/>
  <c r="W765" i="108"/>
  <c r="T765" i="108"/>
  <c r="Y765" i="108"/>
  <c r="V765" i="108"/>
  <c r="X765" i="108"/>
  <c r="Z765" i="108"/>
  <c r="R766" i="108"/>
  <c r="S766" i="108"/>
  <c r="W766" i="108"/>
  <c r="T766" i="108"/>
  <c r="Y766" i="108"/>
  <c r="V766" i="108"/>
  <c r="X766" i="108"/>
  <c r="Z766" i="108"/>
  <c r="R767" i="108"/>
  <c r="S767" i="108"/>
  <c r="W767" i="108"/>
  <c r="T767" i="108"/>
  <c r="Y767" i="108"/>
  <c r="V767" i="108"/>
  <c r="X767" i="108"/>
  <c r="Z767" i="108"/>
  <c r="R768" i="108"/>
  <c r="S768" i="108"/>
  <c r="W768" i="108"/>
  <c r="T768" i="108"/>
  <c r="Y768" i="108"/>
  <c r="V768" i="108"/>
  <c r="X768" i="108"/>
  <c r="Z768" i="108"/>
  <c r="R769" i="108"/>
  <c r="S769" i="108"/>
  <c r="W769" i="108"/>
  <c r="T769" i="108"/>
  <c r="Y769" i="108"/>
  <c r="V769" i="108"/>
  <c r="X769" i="108"/>
  <c r="Z769" i="108"/>
  <c r="R770" i="108"/>
  <c r="S770" i="108"/>
  <c r="W770" i="108"/>
  <c r="T770" i="108"/>
  <c r="Y770" i="108"/>
  <c r="V770" i="108"/>
  <c r="X770" i="108"/>
  <c r="Z770" i="108"/>
  <c r="R771" i="108"/>
  <c r="S771" i="108"/>
  <c r="W771" i="108"/>
  <c r="T771" i="108"/>
  <c r="Y771" i="108"/>
  <c r="V771" i="108"/>
  <c r="X771" i="108"/>
  <c r="Z771" i="108"/>
  <c r="R772" i="108"/>
  <c r="S772" i="108"/>
  <c r="W772" i="108"/>
  <c r="T772" i="108"/>
  <c r="Y772" i="108"/>
  <c r="V772" i="108"/>
  <c r="X772" i="108"/>
  <c r="Z772" i="108"/>
  <c r="R773" i="108"/>
  <c r="S773" i="108"/>
  <c r="W773" i="108"/>
  <c r="T773" i="108"/>
  <c r="Y773" i="108"/>
  <c r="V773" i="108"/>
  <c r="X773" i="108"/>
  <c r="Z773" i="108"/>
  <c r="R774" i="108"/>
  <c r="S774" i="108"/>
  <c r="W774" i="108"/>
  <c r="T774" i="108"/>
  <c r="Y774" i="108"/>
  <c r="V774" i="108"/>
  <c r="X774" i="108"/>
  <c r="Z774" i="108"/>
  <c r="R775" i="108"/>
  <c r="S775" i="108"/>
  <c r="W775" i="108"/>
  <c r="T775" i="108"/>
  <c r="Y775" i="108"/>
  <c r="V775" i="108"/>
  <c r="X775" i="108"/>
  <c r="Z775" i="108"/>
  <c r="R776" i="108"/>
  <c r="S776" i="108"/>
  <c r="W776" i="108"/>
  <c r="T776" i="108"/>
  <c r="Y776" i="108"/>
  <c r="V776" i="108"/>
  <c r="X776" i="108"/>
  <c r="Z776" i="108"/>
  <c r="R777" i="108"/>
  <c r="S777" i="108"/>
  <c r="W777" i="108"/>
  <c r="T777" i="108"/>
  <c r="Y777" i="108"/>
  <c r="V777" i="108"/>
  <c r="X777" i="108"/>
  <c r="Z777" i="108"/>
  <c r="R778" i="108"/>
  <c r="S778" i="108"/>
  <c r="W778" i="108"/>
  <c r="T778" i="108"/>
  <c r="Y778" i="108"/>
  <c r="V778" i="108"/>
  <c r="X778" i="108"/>
  <c r="Z778" i="108"/>
  <c r="R779" i="108"/>
  <c r="S779" i="108"/>
  <c r="W779" i="108"/>
  <c r="T779" i="108"/>
  <c r="Y779" i="108"/>
  <c r="V779" i="108"/>
  <c r="X779" i="108"/>
  <c r="Z779" i="108"/>
  <c r="R780" i="108"/>
  <c r="S780" i="108"/>
  <c r="W780" i="108"/>
  <c r="T780" i="108"/>
  <c r="Y780" i="108"/>
  <c r="V780" i="108"/>
  <c r="X780" i="108"/>
  <c r="Z780" i="108"/>
  <c r="R781" i="108"/>
  <c r="S781" i="108"/>
  <c r="W781" i="108"/>
  <c r="T781" i="108"/>
  <c r="Y781" i="108"/>
  <c r="V781" i="108"/>
  <c r="X781" i="108"/>
  <c r="Z781" i="108"/>
  <c r="R782" i="108"/>
  <c r="S782" i="108"/>
  <c r="W782" i="108"/>
  <c r="T782" i="108"/>
  <c r="Y782" i="108"/>
  <c r="V782" i="108"/>
  <c r="X782" i="108"/>
  <c r="Z782" i="108"/>
  <c r="R783" i="108"/>
  <c r="S783" i="108"/>
  <c r="W783" i="108"/>
  <c r="T783" i="108"/>
  <c r="Y783" i="108"/>
  <c r="V783" i="108"/>
  <c r="X783" i="108"/>
  <c r="Z783" i="108"/>
  <c r="R784" i="108"/>
  <c r="S784" i="108"/>
  <c r="W784" i="108"/>
  <c r="T784" i="108"/>
  <c r="Y784" i="108"/>
  <c r="V784" i="108"/>
  <c r="X784" i="108"/>
  <c r="Z784" i="108"/>
  <c r="R785" i="108"/>
  <c r="S785" i="108"/>
  <c r="W785" i="108"/>
  <c r="T785" i="108"/>
  <c r="Y785" i="108"/>
  <c r="V785" i="108"/>
  <c r="X785" i="108"/>
  <c r="Z785" i="108"/>
  <c r="R786" i="108"/>
  <c r="S786" i="108"/>
  <c r="W786" i="108"/>
  <c r="T786" i="108"/>
  <c r="Y786" i="108"/>
  <c r="V786" i="108"/>
  <c r="X786" i="108"/>
  <c r="Z786" i="108"/>
  <c r="R787" i="108"/>
  <c r="S787" i="108"/>
  <c r="W787" i="108"/>
  <c r="T787" i="108"/>
  <c r="Y787" i="108"/>
  <c r="V787" i="108"/>
  <c r="X787" i="108"/>
  <c r="Z787" i="108"/>
  <c r="R788" i="108"/>
  <c r="S788" i="108"/>
  <c r="W788" i="108"/>
  <c r="T788" i="108"/>
  <c r="Y788" i="108"/>
  <c r="V788" i="108"/>
  <c r="X788" i="108"/>
  <c r="Z788" i="108"/>
  <c r="R789" i="108"/>
  <c r="S789" i="108"/>
  <c r="W789" i="108"/>
  <c r="T789" i="108"/>
  <c r="Y789" i="108"/>
  <c r="V789" i="108"/>
  <c r="X789" i="108"/>
  <c r="Z789" i="108"/>
  <c r="R790" i="108"/>
  <c r="S790" i="108"/>
  <c r="W790" i="108"/>
  <c r="T790" i="108"/>
  <c r="Y790" i="108"/>
  <c r="V790" i="108"/>
  <c r="X790" i="108"/>
  <c r="Z790" i="108"/>
  <c r="R791" i="108"/>
  <c r="S791" i="108"/>
  <c r="W791" i="108"/>
  <c r="T791" i="108"/>
  <c r="Y791" i="108"/>
  <c r="V791" i="108"/>
  <c r="X791" i="108"/>
  <c r="Z791" i="108"/>
  <c r="R792" i="108"/>
  <c r="S792" i="108"/>
  <c r="W792" i="108"/>
  <c r="T792" i="108"/>
  <c r="Y792" i="108"/>
  <c r="V792" i="108"/>
  <c r="X792" i="108"/>
  <c r="Z792" i="108"/>
  <c r="R793" i="108"/>
  <c r="S793" i="108"/>
  <c r="W793" i="108"/>
  <c r="T793" i="108"/>
  <c r="Y793" i="108"/>
  <c r="V793" i="108"/>
  <c r="X793" i="108"/>
  <c r="Z793" i="108"/>
  <c r="R794" i="108"/>
  <c r="S794" i="108"/>
  <c r="W794" i="108"/>
  <c r="T794" i="108"/>
  <c r="Y794" i="108"/>
  <c r="V794" i="108"/>
  <c r="X794" i="108"/>
  <c r="Z794" i="108"/>
  <c r="R795" i="108"/>
  <c r="S795" i="108"/>
  <c r="W795" i="108"/>
  <c r="T795" i="108"/>
  <c r="Y795" i="108"/>
  <c r="V795" i="108"/>
  <c r="X795" i="108"/>
  <c r="Z795" i="108"/>
  <c r="R796" i="108"/>
  <c r="S796" i="108"/>
  <c r="W796" i="108"/>
  <c r="T796" i="108"/>
  <c r="Y796" i="108"/>
  <c r="V796" i="108"/>
  <c r="X796" i="108"/>
  <c r="Z796" i="108"/>
  <c r="R797" i="108"/>
  <c r="S797" i="108"/>
  <c r="W797" i="108"/>
  <c r="T797" i="108"/>
  <c r="Y797" i="108"/>
  <c r="V797" i="108"/>
  <c r="X797" i="108"/>
  <c r="Z797" i="108"/>
  <c r="R798" i="108"/>
  <c r="S798" i="108"/>
  <c r="W798" i="108"/>
  <c r="T798" i="108"/>
  <c r="Y798" i="108"/>
  <c r="V798" i="108"/>
  <c r="X798" i="108"/>
  <c r="Z798" i="108"/>
  <c r="R799" i="108"/>
  <c r="S799" i="108"/>
  <c r="W799" i="108"/>
  <c r="T799" i="108"/>
  <c r="Y799" i="108"/>
  <c r="V799" i="108"/>
  <c r="X799" i="108"/>
  <c r="Z799" i="108"/>
  <c r="R800" i="108"/>
  <c r="S800" i="108"/>
  <c r="W800" i="108"/>
  <c r="T800" i="108"/>
  <c r="Y800" i="108"/>
  <c r="V800" i="108"/>
  <c r="X800" i="108"/>
  <c r="Z800" i="108"/>
  <c r="R801" i="108"/>
  <c r="S801" i="108"/>
  <c r="W801" i="108"/>
  <c r="T801" i="108"/>
  <c r="Y801" i="108"/>
  <c r="V801" i="108"/>
  <c r="X801" i="108"/>
  <c r="Z801" i="108"/>
  <c r="R802" i="108"/>
  <c r="S802" i="108"/>
  <c r="W802" i="108"/>
  <c r="T802" i="108"/>
  <c r="Y802" i="108"/>
  <c r="V802" i="108"/>
  <c r="X802" i="108"/>
  <c r="Z802" i="108"/>
  <c r="R803" i="108"/>
  <c r="S803" i="108"/>
  <c r="W803" i="108"/>
  <c r="T803" i="108"/>
  <c r="Y803" i="108"/>
  <c r="V803" i="108"/>
  <c r="X803" i="108"/>
  <c r="Z803" i="108"/>
  <c r="R804" i="108"/>
  <c r="S804" i="108"/>
  <c r="W804" i="108"/>
  <c r="T804" i="108"/>
  <c r="Y804" i="108"/>
  <c r="V804" i="108"/>
  <c r="X804" i="108"/>
  <c r="Z804" i="108"/>
  <c r="R805" i="108"/>
  <c r="S805" i="108"/>
  <c r="W805" i="108"/>
  <c r="T805" i="108"/>
  <c r="Y805" i="108"/>
  <c r="V805" i="108"/>
  <c r="X805" i="108"/>
  <c r="Z805" i="108"/>
  <c r="R806" i="108"/>
  <c r="S806" i="108"/>
  <c r="W806" i="108"/>
  <c r="T806" i="108"/>
  <c r="Y806" i="108"/>
  <c r="V806" i="108"/>
  <c r="X806" i="108"/>
  <c r="Z806" i="108"/>
  <c r="R807" i="108"/>
  <c r="S807" i="108"/>
  <c r="W807" i="108"/>
  <c r="T807" i="108"/>
  <c r="Y807" i="108"/>
  <c r="V807" i="108"/>
  <c r="X807" i="108"/>
  <c r="Z807" i="108"/>
  <c r="R808" i="108"/>
  <c r="S808" i="108"/>
  <c r="W808" i="108"/>
  <c r="T808" i="108"/>
  <c r="Y808" i="108"/>
  <c r="V808" i="108"/>
  <c r="X808" i="108"/>
  <c r="Z808" i="108"/>
  <c r="R809" i="108"/>
  <c r="S809" i="108"/>
  <c r="W809" i="108"/>
  <c r="T809" i="108"/>
  <c r="Y809" i="108"/>
  <c r="V809" i="108"/>
  <c r="X809" i="108"/>
  <c r="Z809" i="108"/>
  <c r="R810" i="108"/>
  <c r="S810" i="108"/>
  <c r="W810" i="108"/>
  <c r="T810" i="108"/>
  <c r="Y810" i="108"/>
  <c r="V810" i="108"/>
  <c r="X810" i="108"/>
  <c r="Z810" i="108"/>
  <c r="R811" i="108"/>
  <c r="S811" i="108"/>
  <c r="W811" i="108"/>
  <c r="T811" i="108"/>
  <c r="Y811" i="108"/>
  <c r="V811" i="108"/>
  <c r="X811" i="108"/>
  <c r="Z811" i="108"/>
  <c r="V14" i="108"/>
  <c r="X14" i="108"/>
  <c r="Z14" i="108"/>
  <c r="R812" i="108"/>
  <c r="S812" i="108"/>
  <c r="W812" i="108"/>
  <c r="T812" i="108"/>
  <c r="Y812" i="108"/>
  <c r="V812" i="108"/>
  <c r="X812" i="108"/>
  <c r="Z812" i="108"/>
  <c r="R813" i="108"/>
  <c r="S813" i="108"/>
  <c r="W813" i="108"/>
  <c r="T813" i="108"/>
  <c r="Y813" i="108"/>
  <c r="V813" i="108"/>
  <c r="X813" i="108"/>
  <c r="Z813" i="108"/>
  <c r="R814" i="108"/>
  <c r="S814" i="108"/>
  <c r="W814" i="108"/>
  <c r="T814" i="108"/>
  <c r="Y814" i="108"/>
  <c r="V814" i="108"/>
  <c r="X814" i="108"/>
  <c r="Z814" i="108"/>
  <c r="R815" i="108"/>
  <c r="S815" i="108"/>
  <c r="W815" i="108"/>
  <c r="T815" i="108"/>
  <c r="Y815" i="108"/>
  <c r="V815" i="108"/>
  <c r="X815" i="108"/>
  <c r="Z815" i="108"/>
  <c r="R816" i="108"/>
  <c r="S816" i="108"/>
  <c r="W816" i="108"/>
  <c r="T816" i="108"/>
  <c r="Y816" i="108"/>
  <c r="V816" i="108"/>
  <c r="X816" i="108"/>
  <c r="Z816" i="108"/>
  <c r="R817" i="108"/>
  <c r="S817" i="108"/>
  <c r="W817" i="108"/>
  <c r="T817" i="108"/>
  <c r="Y817" i="108"/>
  <c r="V817" i="108"/>
  <c r="X817" i="108"/>
  <c r="Z817" i="108"/>
  <c r="R818" i="108"/>
  <c r="S818" i="108"/>
  <c r="W818" i="108"/>
  <c r="T818" i="108"/>
  <c r="Y818" i="108"/>
  <c r="V818" i="108"/>
  <c r="X818" i="108"/>
  <c r="Z818" i="108"/>
  <c r="R819" i="108"/>
  <c r="S819" i="108"/>
  <c r="W819" i="108"/>
  <c r="T819" i="108"/>
  <c r="Y819" i="108"/>
  <c r="V819" i="108"/>
  <c r="X819" i="108"/>
  <c r="Z819" i="108"/>
  <c r="R820" i="108"/>
  <c r="S820" i="108"/>
  <c r="W820" i="108"/>
  <c r="T820" i="108"/>
  <c r="Y820" i="108"/>
  <c r="V820" i="108"/>
  <c r="X820" i="108"/>
  <c r="Z820" i="108"/>
  <c r="R821" i="108"/>
  <c r="S821" i="108"/>
  <c r="W821" i="108"/>
  <c r="T821" i="108"/>
  <c r="Y821" i="108"/>
  <c r="V821" i="108"/>
  <c r="X821" i="108"/>
  <c r="Z821" i="108"/>
  <c r="R822" i="108"/>
  <c r="S822" i="108"/>
  <c r="W822" i="108"/>
  <c r="T822" i="108"/>
  <c r="Y822" i="108"/>
  <c r="V822" i="108"/>
  <c r="X822" i="108"/>
  <c r="Z822" i="108"/>
  <c r="R823" i="108"/>
  <c r="S823" i="108"/>
  <c r="W823" i="108"/>
  <c r="T823" i="108"/>
  <c r="Y823" i="108"/>
  <c r="V823" i="108"/>
  <c r="X823" i="108"/>
  <c r="Z823" i="108"/>
  <c r="R824" i="108"/>
  <c r="S824" i="108"/>
  <c r="W824" i="108"/>
  <c r="T824" i="108"/>
  <c r="Y824" i="108"/>
  <c r="V824" i="108"/>
  <c r="X824" i="108"/>
  <c r="Z824" i="108"/>
  <c r="R825" i="108"/>
  <c r="S825" i="108"/>
  <c r="W825" i="108"/>
  <c r="T825" i="108"/>
  <c r="Y825" i="108"/>
  <c r="V825" i="108"/>
  <c r="X825" i="108"/>
  <c r="Z825" i="108"/>
  <c r="R826" i="108"/>
  <c r="S826" i="108"/>
  <c r="W826" i="108"/>
  <c r="T826" i="108"/>
  <c r="Y826" i="108"/>
  <c r="V826" i="108"/>
  <c r="X826" i="108"/>
  <c r="Z826" i="108"/>
  <c r="R827" i="108"/>
  <c r="S827" i="108"/>
  <c r="W827" i="108"/>
  <c r="T827" i="108"/>
  <c r="Y827" i="108"/>
  <c r="V827" i="108"/>
  <c r="X827" i="108"/>
  <c r="Z827" i="108"/>
  <c r="R828" i="108"/>
  <c r="S828" i="108"/>
  <c r="W828" i="108"/>
  <c r="T828" i="108"/>
  <c r="Y828" i="108"/>
  <c r="V828" i="108"/>
  <c r="X828" i="108"/>
  <c r="Z828" i="108"/>
  <c r="R829" i="108"/>
  <c r="S829" i="108"/>
  <c r="W829" i="108"/>
  <c r="T829" i="108"/>
  <c r="Y829" i="108"/>
  <c r="V829" i="108"/>
  <c r="X829" i="108"/>
  <c r="Z829" i="108"/>
  <c r="R830" i="108"/>
  <c r="S830" i="108"/>
  <c r="W830" i="108"/>
  <c r="T830" i="108"/>
  <c r="Y830" i="108"/>
  <c r="V830" i="108"/>
  <c r="X830" i="108"/>
  <c r="Z830" i="108"/>
  <c r="R831" i="108"/>
  <c r="S831" i="108"/>
  <c r="W831" i="108"/>
  <c r="T831" i="108"/>
  <c r="Y831" i="108"/>
  <c r="V831" i="108"/>
  <c r="X831" i="108"/>
  <c r="Z831" i="108"/>
  <c r="R832" i="108"/>
  <c r="S832" i="108"/>
  <c r="W832" i="108"/>
  <c r="T832" i="108"/>
  <c r="Y832" i="108"/>
  <c r="V832" i="108"/>
  <c r="X832" i="108"/>
  <c r="Z832" i="108"/>
  <c r="R833" i="108"/>
  <c r="S833" i="108"/>
  <c r="W833" i="108"/>
  <c r="T833" i="108"/>
  <c r="Y833" i="108"/>
  <c r="V833" i="108"/>
  <c r="X833" i="108"/>
  <c r="Z833" i="108"/>
  <c r="R834" i="108"/>
  <c r="S834" i="108"/>
  <c r="W834" i="108"/>
  <c r="T834" i="108"/>
  <c r="Y834" i="108"/>
  <c r="V834" i="108"/>
  <c r="X834" i="108"/>
  <c r="Z834" i="108"/>
  <c r="R835" i="108"/>
  <c r="S835" i="108"/>
  <c r="W835" i="108"/>
  <c r="T835" i="108"/>
  <c r="Y835" i="108"/>
  <c r="V835" i="108"/>
  <c r="X835" i="108"/>
  <c r="Z835" i="108"/>
  <c r="R836" i="108"/>
  <c r="S836" i="108"/>
  <c r="W836" i="108"/>
  <c r="T836" i="108"/>
  <c r="Y836" i="108"/>
  <c r="V836" i="108"/>
  <c r="X836" i="108"/>
  <c r="Z836" i="108"/>
  <c r="R837" i="108"/>
  <c r="S837" i="108"/>
  <c r="W837" i="108"/>
  <c r="T837" i="108"/>
  <c r="Y837" i="108"/>
  <c r="V837" i="108"/>
  <c r="X837" i="108"/>
  <c r="Z837" i="108"/>
  <c r="R838" i="108"/>
  <c r="S838" i="108"/>
  <c r="W838" i="108"/>
  <c r="T838" i="108"/>
  <c r="Y838" i="108"/>
  <c r="V838" i="108"/>
  <c r="X838" i="108"/>
  <c r="Z838" i="108"/>
  <c r="R839" i="108"/>
  <c r="S839" i="108"/>
  <c r="W839" i="108"/>
  <c r="T839" i="108"/>
  <c r="Y839" i="108"/>
  <c r="V839" i="108"/>
  <c r="X839" i="108"/>
  <c r="Z839" i="108"/>
  <c r="R840" i="108"/>
  <c r="S840" i="108"/>
  <c r="W840" i="108"/>
  <c r="T840" i="108"/>
  <c r="Y840" i="108"/>
  <c r="V840" i="108"/>
  <c r="X840" i="108"/>
  <c r="Z840" i="108"/>
  <c r="R841" i="108"/>
  <c r="S841" i="108"/>
  <c r="W841" i="108"/>
  <c r="T841" i="108"/>
  <c r="Y841" i="108"/>
  <c r="V841" i="108"/>
  <c r="X841" i="108"/>
  <c r="Z841" i="108"/>
  <c r="R842" i="108"/>
  <c r="S842" i="108"/>
  <c r="W842" i="108"/>
  <c r="T842" i="108"/>
  <c r="Y842" i="108"/>
  <c r="V842" i="108"/>
  <c r="X842" i="108"/>
  <c r="Z842" i="108"/>
  <c r="R843" i="108"/>
  <c r="S843" i="108"/>
  <c r="W843" i="108"/>
  <c r="T843" i="108"/>
  <c r="Y843" i="108"/>
  <c r="V843" i="108"/>
  <c r="X843" i="108"/>
  <c r="Z843" i="108"/>
  <c r="R844" i="108"/>
  <c r="S844" i="108"/>
  <c r="W844" i="108"/>
  <c r="T844" i="108"/>
  <c r="Y844" i="108"/>
  <c r="V844" i="108"/>
  <c r="X844" i="108"/>
  <c r="Z844" i="108"/>
  <c r="R846" i="108"/>
  <c r="S846" i="108"/>
  <c r="W846" i="108"/>
  <c r="T846" i="108"/>
  <c r="Y846" i="108"/>
  <c r="V846" i="108"/>
  <c r="X846" i="108"/>
  <c r="Z846" i="108"/>
  <c r="R847" i="108"/>
  <c r="S847" i="108"/>
  <c r="W847" i="108"/>
  <c r="T847" i="108"/>
  <c r="Y847" i="108"/>
  <c r="V847" i="108"/>
  <c r="X847" i="108"/>
  <c r="Z847" i="108"/>
  <c r="R848" i="108"/>
  <c r="S848" i="108"/>
  <c r="W848" i="108"/>
  <c r="T848" i="108"/>
  <c r="Y848" i="108"/>
  <c r="V848" i="108"/>
  <c r="X848" i="108"/>
  <c r="Z848" i="108"/>
  <c r="R851" i="108"/>
  <c r="S851" i="108"/>
  <c r="W851" i="108"/>
  <c r="T851" i="108"/>
  <c r="Y851" i="108"/>
  <c r="V851" i="108"/>
  <c r="X851" i="108"/>
  <c r="Z851" i="108"/>
  <c r="R852" i="108"/>
  <c r="S852" i="108"/>
  <c r="W852" i="108"/>
  <c r="T852" i="108"/>
  <c r="Y852" i="108"/>
  <c r="V852" i="108"/>
  <c r="X852" i="108"/>
  <c r="Z852" i="108"/>
  <c r="R853" i="108"/>
  <c r="S853" i="108"/>
  <c r="W853" i="108"/>
  <c r="T853" i="108"/>
  <c r="Y853" i="108"/>
  <c r="V853" i="108"/>
  <c r="X853" i="108"/>
  <c r="Z853" i="108"/>
  <c r="R854" i="108"/>
  <c r="S854" i="108"/>
  <c r="W854" i="108"/>
  <c r="T854" i="108"/>
  <c r="Y854" i="108"/>
  <c r="V854" i="108"/>
  <c r="X854" i="108"/>
  <c r="Z854" i="108"/>
  <c r="R856" i="108"/>
  <c r="S856" i="108"/>
  <c r="W856" i="108"/>
  <c r="T856" i="108"/>
  <c r="Y856" i="108"/>
  <c r="V856" i="108"/>
  <c r="X856" i="108"/>
  <c r="Z856" i="108"/>
  <c r="R857" i="108"/>
  <c r="S857" i="108"/>
  <c r="W857" i="108"/>
  <c r="T857" i="108"/>
  <c r="Y857" i="108"/>
  <c r="V857" i="108"/>
  <c r="X857" i="108"/>
  <c r="Z857" i="108"/>
  <c r="R859" i="108"/>
  <c r="S859" i="108"/>
  <c r="W859" i="108"/>
  <c r="T859" i="108"/>
  <c r="Y859" i="108"/>
  <c r="V859" i="108"/>
  <c r="X859" i="108"/>
  <c r="Z859" i="108"/>
  <c r="R675" i="108"/>
  <c r="S675" i="108"/>
  <c r="W675" i="108"/>
  <c r="T675" i="108"/>
  <c r="Y675" i="108"/>
  <c r="V675" i="108"/>
  <c r="X675" i="108"/>
  <c r="Z675" i="108"/>
  <c r="R676" i="108"/>
  <c r="S676" i="108"/>
  <c r="W676" i="108"/>
  <c r="T676" i="108"/>
  <c r="Y676" i="108"/>
  <c r="V676" i="108"/>
  <c r="X676" i="108"/>
  <c r="Z676" i="108"/>
  <c r="R677" i="108"/>
  <c r="S677" i="108"/>
  <c r="W677" i="108"/>
  <c r="T677" i="108"/>
  <c r="Y677" i="108"/>
  <c r="V677" i="108"/>
  <c r="X677" i="108"/>
  <c r="Z677" i="108"/>
  <c r="R23" i="108"/>
  <c r="S23" i="108"/>
  <c r="V23" i="108"/>
  <c r="T23" i="108"/>
  <c r="X23" i="108"/>
  <c r="W23" i="108"/>
  <c r="Y23" i="108"/>
  <c r="Z23" i="108"/>
  <c r="V49" i="108"/>
  <c r="X49" i="108"/>
  <c r="Z49" i="108"/>
  <c r="V307" i="108"/>
  <c r="X307" i="108"/>
  <c r="Z307" i="108"/>
  <c r="V308" i="108"/>
  <c r="X308" i="108"/>
  <c r="Z308" i="108"/>
  <c r="V347" i="108"/>
  <c r="X347" i="108"/>
  <c r="Z347" i="108"/>
  <c r="V350" i="108"/>
  <c r="X350" i="108"/>
  <c r="Z350" i="108"/>
  <c r="V10" i="108"/>
  <c r="X10" i="108"/>
  <c r="Z10" i="108"/>
  <c r="V351" i="108"/>
  <c r="X351" i="108"/>
  <c r="Z351" i="108"/>
  <c r="V355" i="108"/>
  <c r="X355" i="108"/>
  <c r="Z355" i="108"/>
  <c r="V360" i="108"/>
  <c r="X360" i="108"/>
  <c r="Z360" i="108"/>
  <c r="V367" i="108"/>
  <c r="X367" i="108"/>
  <c r="Z367" i="108"/>
  <c r="V11" i="108"/>
  <c r="X11" i="108"/>
  <c r="Z11" i="108"/>
  <c r="V374" i="108"/>
  <c r="X374" i="108"/>
  <c r="Z374" i="108"/>
  <c r="V378" i="108"/>
  <c r="X378" i="108"/>
  <c r="Z378" i="108"/>
  <c r="V12" i="108"/>
  <c r="X12" i="108"/>
  <c r="Z12" i="108"/>
  <c r="V380" i="108"/>
  <c r="X380" i="108"/>
  <c r="Z380" i="108"/>
  <c r="V385" i="108"/>
  <c r="X385" i="108"/>
  <c r="Z385" i="108"/>
  <c r="V388" i="108"/>
  <c r="X388" i="108"/>
  <c r="Z388" i="108"/>
  <c r="V394" i="108"/>
  <c r="X394" i="108"/>
  <c r="Z394" i="108"/>
  <c r="V420" i="108"/>
  <c r="X420" i="108"/>
  <c r="Z420" i="108"/>
  <c r="W18" i="108"/>
  <c r="Y18" i="108"/>
  <c r="Z18" i="108"/>
  <c r="W19" i="108"/>
  <c r="Y19" i="108"/>
  <c r="Z19" i="108"/>
  <c r="W20" i="108"/>
  <c r="Y20" i="108"/>
  <c r="Z20" i="108"/>
  <c r="W21" i="108"/>
  <c r="Y21" i="108"/>
  <c r="Z21" i="108"/>
  <c r="V32" i="108"/>
  <c r="X32" i="108"/>
  <c r="Z32" i="108"/>
  <c r="W55" i="108"/>
  <c r="Y55" i="108"/>
  <c r="Z55" i="108"/>
  <c r="W56" i="108"/>
  <c r="Y56" i="108"/>
  <c r="Z56" i="108"/>
  <c r="W57" i="108"/>
  <c r="Y57" i="108"/>
  <c r="Z57" i="108"/>
  <c r="W58" i="108"/>
  <c r="Y58" i="108"/>
  <c r="Z58" i="108"/>
  <c r="V59" i="108"/>
  <c r="W59" i="108"/>
  <c r="X59" i="108"/>
  <c r="Y59" i="108"/>
  <c r="Z59" i="108"/>
  <c r="W61" i="108"/>
  <c r="Y61" i="108"/>
  <c r="Z61" i="108"/>
  <c r="W62" i="108"/>
  <c r="Y62" i="108"/>
  <c r="Z62" i="108"/>
  <c r="W64" i="108"/>
  <c r="Y64" i="108"/>
  <c r="Z64" i="108"/>
  <c r="W66" i="108"/>
  <c r="Y66" i="108"/>
  <c r="Z66" i="108"/>
  <c r="W67" i="108"/>
  <c r="Y67" i="108"/>
  <c r="Z67" i="108"/>
  <c r="W69" i="108"/>
  <c r="Y69" i="108"/>
  <c r="Z69" i="108"/>
  <c r="W70" i="108"/>
  <c r="Y70" i="108"/>
  <c r="Z70" i="108"/>
  <c r="W71" i="108"/>
  <c r="Y71" i="108"/>
  <c r="Z71" i="108"/>
  <c r="W72" i="108"/>
  <c r="Y72" i="108"/>
  <c r="Z72" i="108"/>
  <c r="W73" i="108"/>
  <c r="Y73" i="108"/>
  <c r="Z73" i="108"/>
  <c r="W74" i="108"/>
  <c r="Y74" i="108"/>
  <c r="Z74" i="108"/>
  <c r="W76" i="108"/>
  <c r="Y76" i="108"/>
  <c r="Z76" i="108"/>
  <c r="W78" i="108"/>
  <c r="Y78" i="108"/>
  <c r="Z78" i="108"/>
  <c r="V695" i="108"/>
  <c r="X695" i="108"/>
  <c r="Z695" i="108"/>
  <c r="V75" i="108"/>
  <c r="X75" i="108"/>
  <c r="Z75" i="108"/>
  <c r="R24" i="108"/>
  <c r="S24" i="108"/>
  <c r="W24" i="108"/>
  <c r="T24" i="108"/>
  <c r="Y24" i="108"/>
  <c r="V24" i="108"/>
  <c r="X24" i="108"/>
  <c r="Z24" i="108"/>
  <c r="V54" i="108"/>
  <c r="X54" i="108"/>
  <c r="Z54" i="108"/>
  <c r="V255" i="108"/>
  <c r="X255" i="108"/>
  <c r="Z255" i="108"/>
  <c r="V340" i="108"/>
  <c r="X340" i="108"/>
  <c r="Z340" i="108"/>
  <c r="V678" i="108"/>
  <c r="X678" i="108"/>
  <c r="Z678" i="108"/>
  <c r="V680" i="108"/>
  <c r="X680" i="108"/>
  <c r="Z680" i="108"/>
  <c r="V845" i="108"/>
  <c r="X845" i="108"/>
  <c r="Z845" i="108"/>
  <c r="F449" i="110"/>
  <c r="F482" i="110" s="1"/>
  <c r="C13" i="109" s="1"/>
  <c r="E449" i="110"/>
  <c r="D449" i="110"/>
  <c r="S473" i="110"/>
  <c r="T473" i="110"/>
  <c r="S472" i="110"/>
  <c r="T472" i="110"/>
  <c r="S471" i="110"/>
  <c r="T471" i="110"/>
  <c r="S470" i="110"/>
  <c r="T470" i="110"/>
  <c r="S469" i="110"/>
  <c r="T469" i="110"/>
  <c r="S468" i="110"/>
  <c r="T468" i="110"/>
  <c r="S467" i="110"/>
  <c r="T467" i="110"/>
  <c r="S466" i="110"/>
  <c r="T466" i="110"/>
  <c r="S464" i="110"/>
  <c r="T464" i="110"/>
  <c r="S463" i="110"/>
  <c r="T463" i="110"/>
  <c r="S462" i="110"/>
  <c r="T462" i="110"/>
  <c r="S461" i="110"/>
  <c r="S460" i="110"/>
  <c r="T460" i="110" s="1"/>
  <c r="S459" i="110"/>
  <c r="T459" i="110" s="1"/>
  <c r="S458" i="110"/>
  <c r="T458" i="110" s="1"/>
  <c r="S457" i="110"/>
  <c r="T457" i="110" s="1"/>
  <c r="S456" i="110"/>
  <c r="T456" i="110" s="1"/>
  <c r="S454" i="110"/>
  <c r="T454" i="110" s="1"/>
  <c r="S453" i="110"/>
  <c r="T453" i="110" s="1"/>
  <c r="S455" i="110"/>
  <c r="V5" i="116"/>
  <c r="Y5" i="116" s="1"/>
  <c r="W5" i="116"/>
  <c r="Z5" i="116" s="1"/>
  <c r="X5" i="116"/>
  <c r="AA5" i="116" s="1"/>
  <c r="AB5" i="116"/>
  <c r="AC5" i="116"/>
  <c r="AD5" i="116"/>
  <c r="AI5" i="116"/>
  <c r="AJ5" i="116"/>
  <c r="N5" i="116" s="1"/>
  <c r="Q5" i="116" s="1"/>
  <c r="L370" i="110" s="1"/>
  <c r="AK5" i="116"/>
  <c r="AV5" i="116"/>
  <c r="AW5" i="116"/>
  <c r="AX5" i="116"/>
  <c r="V6" i="116"/>
  <c r="Y6" i="116" s="1"/>
  <c r="W6" i="116"/>
  <c r="Z6" i="116" s="1"/>
  <c r="X6" i="116"/>
  <c r="AA6" i="116" s="1"/>
  <c r="AB6" i="116"/>
  <c r="AC6" i="116"/>
  <c r="AD6" i="116"/>
  <c r="AI6" i="116"/>
  <c r="M6" i="116" s="1"/>
  <c r="H371" i="110" s="1"/>
  <c r="AJ6" i="116"/>
  <c r="N6" i="116" s="1"/>
  <c r="Q6" i="116" s="1"/>
  <c r="L371" i="110" s="1"/>
  <c r="AK6" i="116"/>
  <c r="AV6" i="116"/>
  <c r="AW6" i="116"/>
  <c r="AX6" i="116"/>
  <c r="V7" i="116"/>
  <c r="Y7" i="116" s="1"/>
  <c r="W7" i="116"/>
  <c r="Z7" i="116" s="1"/>
  <c r="X7" i="116"/>
  <c r="AA7" i="116" s="1"/>
  <c r="AB7" i="116"/>
  <c r="AC7" i="116"/>
  <c r="AD7" i="116"/>
  <c r="AI7" i="116"/>
  <c r="M7" i="116" s="1"/>
  <c r="H372" i="110" s="1"/>
  <c r="AJ7" i="116"/>
  <c r="N7" i="116" s="1"/>
  <c r="AK7" i="116"/>
  <c r="AV7" i="116"/>
  <c r="AW7" i="116"/>
  <c r="AX7" i="116"/>
  <c r="V8" i="116"/>
  <c r="W8" i="116"/>
  <c r="Z8" i="116" s="1"/>
  <c r="X8" i="116"/>
  <c r="AA8" i="116" s="1"/>
  <c r="AB8" i="116"/>
  <c r="AC8" i="116"/>
  <c r="AD8" i="116"/>
  <c r="AI8" i="116"/>
  <c r="M8" i="116" s="1"/>
  <c r="P8" i="116" s="1"/>
  <c r="AJ8" i="116"/>
  <c r="AK8" i="116"/>
  <c r="O8" i="116" s="1"/>
  <c r="J373" i="110" s="1"/>
  <c r="AV8" i="116"/>
  <c r="AW8" i="116"/>
  <c r="AX8" i="116"/>
  <c r="V9" i="116"/>
  <c r="Y9" i="116" s="1"/>
  <c r="W9" i="116"/>
  <c r="Z9" i="116"/>
  <c r="X9" i="116"/>
  <c r="AB9" i="116"/>
  <c r="AC9" i="116"/>
  <c r="AD9" i="116"/>
  <c r="AI9" i="116"/>
  <c r="M9" i="116" s="1"/>
  <c r="AJ9" i="116"/>
  <c r="N9" i="116" s="1"/>
  <c r="Q9" i="116" s="1"/>
  <c r="L374" i="110" s="1"/>
  <c r="AK9" i="116"/>
  <c r="O9" i="116" s="1"/>
  <c r="J374" i="110" s="1"/>
  <c r="AV9" i="116"/>
  <c r="AW9" i="116"/>
  <c r="AX9" i="116"/>
  <c r="V10" i="116"/>
  <c r="Y10" i="116" s="1"/>
  <c r="W10" i="116"/>
  <c r="Z10" i="116" s="1"/>
  <c r="X10" i="116"/>
  <c r="AA10" i="116" s="1"/>
  <c r="AB10" i="116"/>
  <c r="AC10" i="116"/>
  <c r="AD10" i="116"/>
  <c r="AI10" i="116"/>
  <c r="AJ10" i="116"/>
  <c r="N10" i="116" s="1"/>
  <c r="AK10" i="116"/>
  <c r="AV10" i="116"/>
  <c r="AW10" i="116"/>
  <c r="AX10" i="116"/>
  <c r="V11" i="116"/>
  <c r="Y11" i="116" s="1"/>
  <c r="W11" i="116"/>
  <c r="Z11" i="116" s="1"/>
  <c r="X11" i="116"/>
  <c r="AA11" i="116" s="1"/>
  <c r="AB11" i="116"/>
  <c r="AC11" i="116"/>
  <c r="AD11" i="116"/>
  <c r="AI11" i="116"/>
  <c r="M11" i="116" s="1"/>
  <c r="AJ11" i="116"/>
  <c r="N11" i="116" s="1"/>
  <c r="AK11" i="116"/>
  <c r="AV11" i="116"/>
  <c r="AW11" i="116"/>
  <c r="AX11" i="116"/>
  <c r="V12" i="116"/>
  <c r="Y12" i="116" s="1"/>
  <c r="W12" i="116"/>
  <c r="Z12" i="116" s="1"/>
  <c r="X12" i="116"/>
  <c r="AB12" i="116"/>
  <c r="AC12" i="116"/>
  <c r="AD12" i="116"/>
  <c r="AI12" i="116"/>
  <c r="AJ12" i="116"/>
  <c r="N12" i="116" s="1"/>
  <c r="AK12" i="116"/>
  <c r="O12" i="116" s="1"/>
  <c r="AV12" i="116"/>
  <c r="AW12" i="116"/>
  <c r="AX12" i="116"/>
  <c r="V13" i="116"/>
  <c r="Y13" i="116" s="1"/>
  <c r="W13" i="116"/>
  <c r="Z13" i="116" s="1"/>
  <c r="X13" i="116"/>
  <c r="AA13" i="116"/>
  <c r="AB13" i="116"/>
  <c r="AC13" i="116"/>
  <c r="AD13" i="116"/>
  <c r="AI13" i="116"/>
  <c r="M13" i="116" s="1"/>
  <c r="AJ13" i="116"/>
  <c r="AK13" i="116"/>
  <c r="O13" i="116" s="1"/>
  <c r="AV13" i="116"/>
  <c r="AW13" i="116"/>
  <c r="AX13" i="116"/>
  <c r="V14" i="116"/>
  <c r="Y14" i="116" s="1"/>
  <c r="W14" i="116"/>
  <c r="Z14" i="116" s="1"/>
  <c r="X14" i="116"/>
  <c r="AA14" i="116" s="1"/>
  <c r="AB14" i="116"/>
  <c r="AC14" i="116"/>
  <c r="AD14" i="116"/>
  <c r="AI14" i="116"/>
  <c r="M14" i="116" s="1"/>
  <c r="AJ14" i="116"/>
  <c r="N14" i="116" s="1"/>
  <c r="Q14" i="116" s="1"/>
  <c r="L379" i="110" s="1"/>
  <c r="AK14" i="116"/>
  <c r="O14" i="116" s="1"/>
  <c r="J379" i="110" s="1"/>
  <c r="AV14" i="116"/>
  <c r="AW14" i="116"/>
  <c r="AX14" i="116"/>
  <c r="V15" i="116"/>
  <c r="Y15" i="116" s="1"/>
  <c r="W15" i="116"/>
  <c r="Z15" i="116" s="1"/>
  <c r="X15" i="116"/>
  <c r="AA15" i="116" s="1"/>
  <c r="AB15" i="116"/>
  <c r="AC15" i="116"/>
  <c r="AD15" i="116"/>
  <c r="AI15" i="116"/>
  <c r="AJ15" i="116"/>
  <c r="AK15" i="116"/>
  <c r="O15" i="116" s="1"/>
  <c r="J380" i="110" s="1"/>
  <c r="AV15" i="116"/>
  <c r="AW15" i="116"/>
  <c r="AX15" i="116"/>
  <c r="V16" i="116"/>
  <c r="Y16" i="116" s="1"/>
  <c r="W16" i="116"/>
  <c r="Z16" i="116" s="1"/>
  <c r="X16" i="116"/>
  <c r="AA16" i="116" s="1"/>
  <c r="AB16" i="116"/>
  <c r="AC16" i="116"/>
  <c r="AD16" i="116"/>
  <c r="AI16" i="116"/>
  <c r="AJ16" i="116"/>
  <c r="N16" i="116" s="1"/>
  <c r="Q16" i="116" s="1"/>
  <c r="L381" i="110" s="1"/>
  <c r="AK16" i="116"/>
  <c r="O16" i="116" s="1"/>
  <c r="J381" i="110" s="1"/>
  <c r="AV16" i="116"/>
  <c r="AW16" i="116"/>
  <c r="AX16" i="116"/>
  <c r="V17" i="116"/>
  <c r="Y17" i="116" s="1"/>
  <c r="W17" i="116"/>
  <c r="Z17" i="116"/>
  <c r="X17" i="116"/>
  <c r="AA17" i="116" s="1"/>
  <c r="AB17" i="116"/>
  <c r="AC17" i="116"/>
  <c r="AD17" i="116"/>
  <c r="AI17" i="116"/>
  <c r="M17" i="116" s="1"/>
  <c r="P17" i="116" s="1"/>
  <c r="K382" i="110" s="1"/>
  <c r="AJ17" i="116"/>
  <c r="N17" i="116" s="1"/>
  <c r="AK17" i="116"/>
  <c r="O17" i="116" s="1"/>
  <c r="J382" i="110" s="1"/>
  <c r="AV17" i="116"/>
  <c r="AW17" i="116"/>
  <c r="AX17" i="116"/>
  <c r="V18" i="116"/>
  <c r="Y18" i="116" s="1"/>
  <c r="W18" i="116"/>
  <c r="Z18" i="116" s="1"/>
  <c r="X18" i="116"/>
  <c r="AA18" i="116" s="1"/>
  <c r="AB18" i="116"/>
  <c r="AC18" i="116"/>
  <c r="AD18" i="116"/>
  <c r="AI18" i="116"/>
  <c r="M18" i="116" s="1"/>
  <c r="H383" i="110" s="1"/>
  <c r="AJ18" i="116"/>
  <c r="AK18" i="116"/>
  <c r="O18" i="116" s="1"/>
  <c r="J383" i="110" s="1"/>
  <c r="AV18" i="116"/>
  <c r="AW18" i="116"/>
  <c r="AX18" i="116"/>
  <c r="V19" i="116"/>
  <c r="Y19" i="116" s="1"/>
  <c r="W19" i="116"/>
  <c r="Z19" i="116" s="1"/>
  <c r="X19" i="116"/>
  <c r="AA19" i="116" s="1"/>
  <c r="AB19" i="116"/>
  <c r="AC19" i="116"/>
  <c r="AD19" i="116"/>
  <c r="AI19" i="116"/>
  <c r="M19" i="116" s="1"/>
  <c r="P19" i="116" s="1"/>
  <c r="K384" i="110" s="1"/>
  <c r="AJ19" i="116"/>
  <c r="AK19" i="116"/>
  <c r="O19" i="116" s="1"/>
  <c r="R19" i="116" s="1"/>
  <c r="M384" i="110" s="1"/>
  <c r="AV19" i="116"/>
  <c r="AW19" i="116"/>
  <c r="AX19" i="116"/>
  <c r="V20" i="116"/>
  <c r="Y20" i="116" s="1"/>
  <c r="W20" i="116"/>
  <c r="Z20" i="116" s="1"/>
  <c r="X20" i="116"/>
  <c r="AA20" i="116" s="1"/>
  <c r="AB20" i="116"/>
  <c r="AC20" i="116"/>
  <c r="AD20" i="116"/>
  <c r="AI20" i="116"/>
  <c r="M20" i="116" s="1"/>
  <c r="AJ20" i="116"/>
  <c r="N20" i="116" s="1"/>
  <c r="I385" i="110" s="1"/>
  <c r="AK20" i="116"/>
  <c r="O20" i="116" s="1"/>
  <c r="R20" i="116" s="1"/>
  <c r="M385" i="110" s="1"/>
  <c r="AV20" i="116"/>
  <c r="AW20" i="116"/>
  <c r="AX20" i="116"/>
  <c r="V21" i="116"/>
  <c r="Y21" i="116" s="1"/>
  <c r="W21" i="116"/>
  <c r="Z21" i="116" s="1"/>
  <c r="X21" i="116"/>
  <c r="AA21" i="116" s="1"/>
  <c r="AB21" i="116"/>
  <c r="AC21" i="116"/>
  <c r="AD21" i="116"/>
  <c r="AI21" i="116"/>
  <c r="M21" i="116" s="1"/>
  <c r="H386" i="110" s="1"/>
  <c r="AJ21" i="116"/>
  <c r="N21" i="116" s="1"/>
  <c r="AK21" i="116"/>
  <c r="O21" i="116" s="1"/>
  <c r="J386" i="110" s="1"/>
  <c r="AV21" i="116"/>
  <c r="AW21" i="116"/>
  <c r="AX21" i="116"/>
  <c r="V22" i="116"/>
  <c r="Y22" i="116" s="1"/>
  <c r="W22" i="116"/>
  <c r="Z22" i="116" s="1"/>
  <c r="X22" i="116"/>
  <c r="AA22" i="116" s="1"/>
  <c r="AB22" i="116"/>
  <c r="AC22" i="116"/>
  <c r="AD22" i="116"/>
  <c r="AI22" i="116"/>
  <c r="AJ22" i="116"/>
  <c r="N22" i="116" s="1"/>
  <c r="Q22" i="116" s="1"/>
  <c r="L387" i="110" s="1"/>
  <c r="AK22" i="116"/>
  <c r="O22" i="116" s="1"/>
  <c r="AV22" i="116"/>
  <c r="AW22" i="116"/>
  <c r="AX22" i="116"/>
  <c r="V23" i="116"/>
  <c r="W23" i="116"/>
  <c r="Z23" i="116" s="1"/>
  <c r="X23" i="116"/>
  <c r="AA23" i="116" s="1"/>
  <c r="AB23" i="116"/>
  <c r="AC23" i="116"/>
  <c r="AD23" i="116"/>
  <c r="AI23" i="116"/>
  <c r="M23" i="116" s="1"/>
  <c r="AJ23" i="116"/>
  <c r="N23" i="116" s="1"/>
  <c r="AK23" i="116"/>
  <c r="O23" i="116" s="1"/>
  <c r="J388" i="110" s="1"/>
  <c r="AV23" i="116"/>
  <c r="AW23" i="116"/>
  <c r="AX23" i="116"/>
  <c r="V24" i="116"/>
  <c r="Y24" i="116" s="1"/>
  <c r="W24" i="116"/>
  <c r="Z24" i="116" s="1"/>
  <c r="X24" i="116"/>
  <c r="AA24" i="116" s="1"/>
  <c r="AB24" i="116"/>
  <c r="AC24" i="116"/>
  <c r="AD24" i="116"/>
  <c r="AI24" i="116"/>
  <c r="M24" i="116" s="1"/>
  <c r="H389" i="110" s="1"/>
  <c r="AJ24" i="116"/>
  <c r="AK24" i="116"/>
  <c r="O24" i="116" s="1"/>
  <c r="J389" i="110" s="1"/>
  <c r="AV24" i="116"/>
  <c r="AW24" i="116"/>
  <c r="AX24" i="116"/>
  <c r="V25" i="116"/>
  <c r="Y25" i="116" s="1"/>
  <c r="W25" i="116"/>
  <c r="Z25" i="116" s="1"/>
  <c r="X25" i="116"/>
  <c r="AA25" i="116" s="1"/>
  <c r="AB25" i="116"/>
  <c r="AC25" i="116"/>
  <c r="AD25" i="116"/>
  <c r="AI25" i="116"/>
  <c r="M25" i="116" s="1"/>
  <c r="H390" i="110" s="1"/>
  <c r="AJ25" i="116"/>
  <c r="AK25" i="116"/>
  <c r="O25" i="116" s="1"/>
  <c r="J390" i="110" s="1"/>
  <c r="AV25" i="116"/>
  <c r="AW25" i="116"/>
  <c r="AX25" i="116"/>
  <c r="V26" i="116"/>
  <c r="Y26" i="116" s="1"/>
  <c r="W26" i="116"/>
  <c r="Z26" i="116" s="1"/>
  <c r="X26" i="116"/>
  <c r="AA26" i="116" s="1"/>
  <c r="AB26" i="116"/>
  <c r="AC26" i="116"/>
  <c r="AD26" i="116"/>
  <c r="AI26" i="116"/>
  <c r="M26" i="116" s="1"/>
  <c r="H391" i="110" s="1"/>
  <c r="AJ26" i="116"/>
  <c r="AK26" i="116"/>
  <c r="AV26" i="116"/>
  <c r="AW26" i="116"/>
  <c r="AX26" i="116"/>
  <c r="V27" i="116"/>
  <c r="Y27" i="116" s="1"/>
  <c r="W27" i="116"/>
  <c r="Z27" i="116" s="1"/>
  <c r="X27" i="116"/>
  <c r="AA27" i="116" s="1"/>
  <c r="AB27" i="116"/>
  <c r="AC27" i="116"/>
  <c r="AD27" i="116"/>
  <c r="AI27" i="116"/>
  <c r="M27" i="116" s="1"/>
  <c r="AJ27" i="116"/>
  <c r="N27" i="116" s="1"/>
  <c r="I392" i="110" s="1"/>
  <c r="AK27" i="116"/>
  <c r="O27" i="116" s="1"/>
  <c r="J392" i="110" s="1"/>
  <c r="AV27" i="116"/>
  <c r="AW27" i="116"/>
  <c r="AX27" i="116"/>
  <c r="V28" i="116"/>
  <c r="Y28" i="116" s="1"/>
  <c r="W28" i="116"/>
  <c r="Z28" i="116" s="1"/>
  <c r="X28" i="116"/>
  <c r="AA28" i="116" s="1"/>
  <c r="AB28" i="116"/>
  <c r="AC28" i="116"/>
  <c r="AD28" i="116"/>
  <c r="AI28" i="116"/>
  <c r="AJ28" i="116"/>
  <c r="N28" i="116" s="1"/>
  <c r="I393" i="110" s="1"/>
  <c r="AK28" i="116"/>
  <c r="O28" i="116" s="1"/>
  <c r="J393" i="110" s="1"/>
  <c r="AV28" i="116"/>
  <c r="AW28" i="116"/>
  <c r="AX28" i="116"/>
  <c r="V29" i="116"/>
  <c r="Y29" i="116" s="1"/>
  <c r="W29" i="116"/>
  <c r="Z29" i="116" s="1"/>
  <c r="X29" i="116"/>
  <c r="AA29" i="116" s="1"/>
  <c r="AB29" i="116"/>
  <c r="AC29" i="116"/>
  <c r="AD29" i="116"/>
  <c r="AI29" i="116"/>
  <c r="M29" i="116" s="1"/>
  <c r="AJ29" i="116"/>
  <c r="N29" i="116" s="1"/>
  <c r="AK29" i="116"/>
  <c r="O29" i="116" s="1"/>
  <c r="J394" i="110" s="1"/>
  <c r="AV29" i="116"/>
  <c r="AW29" i="116"/>
  <c r="AX29" i="116"/>
  <c r="V30" i="116"/>
  <c r="Y30" i="116" s="1"/>
  <c r="W30" i="116"/>
  <c r="X30" i="116"/>
  <c r="AA30" i="116" s="1"/>
  <c r="AB30" i="116"/>
  <c r="AC30" i="116"/>
  <c r="AD30" i="116"/>
  <c r="AI30" i="116"/>
  <c r="M30" i="116" s="1"/>
  <c r="H395" i="110" s="1"/>
  <c r="AJ30" i="116"/>
  <c r="N30" i="116" s="1"/>
  <c r="Q30" i="116" s="1"/>
  <c r="L395" i="110" s="1"/>
  <c r="AK30" i="116"/>
  <c r="O30" i="116" s="1"/>
  <c r="AV30" i="116"/>
  <c r="AW30" i="116"/>
  <c r="AX30" i="116"/>
  <c r="V31" i="116"/>
  <c r="W31" i="116"/>
  <c r="X31" i="116"/>
  <c r="AA31" i="116" s="1"/>
  <c r="AB31" i="116"/>
  <c r="AC31" i="116"/>
  <c r="AD31" i="116"/>
  <c r="AI31" i="116"/>
  <c r="AJ31" i="116"/>
  <c r="N31" i="116" s="1"/>
  <c r="AK31" i="116"/>
  <c r="AV31" i="116"/>
  <c r="AW31" i="116"/>
  <c r="AX31" i="116"/>
  <c r="V32" i="116"/>
  <c r="Y32" i="116" s="1"/>
  <c r="W32" i="116"/>
  <c r="X32" i="116"/>
  <c r="AA32" i="116" s="1"/>
  <c r="AB32" i="116"/>
  <c r="AC32" i="116"/>
  <c r="AD32" i="116"/>
  <c r="AI32" i="116"/>
  <c r="M32" i="116" s="1"/>
  <c r="AJ32" i="116"/>
  <c r="N32" i="116" s="1"/>
  <c r="Q32" i="116" s="1"/>
  <c r="L397" i="110" s="1"/>
  <c r="AK32" i="116"/>
  <c r="O32" i="116" s="1"/>
  <c r="J397" i="110" s="1"/>
  <c r="AV32" i="116"/>
  <c r="AW32" i="116"/>
  <c r="AX32" i="116"/>
  <c r="V33" i="116"/>
  <c r="Y33" i="116" s="1"/>
  <c r="W33" i="116"/>
  <c r="Z33" i="116" s="1"/>
  <c r="X33" i="116"/>
  <c r="AA33" i="116" s="1"/>
  <c r="AB33" i="116"/>
  <c r="AC33" i="116"/>
  <c r="AD33" i="116"/>
  <c r="AI33" i="116"/>
  <c r="AJ33" i="116"/>
  <c r="AK33" i="116"/>
  <c r="AV33" i="116"/>
  <c r="AW33" i="116"/>
  <c r="AX33" i="116"/>
  <c r="V34" i="116"/>
  <c r="Y34" i="116" s="1"/>
  <c r="W34" i="116"/>
  <c r="Z34" i="116" s="1"/>
  <c r="X34" i="116"/>
  <c r="AA34" i="116" s="1"/>
  <c r="AB34" i="116"/>
  <c r="AC34" i="116"/>
  <c r="AD34" i="116"/>
  <c r="AI34" i="116"/>
  <c r="AJ34" i="116"/>
  <c r="N34" i="116" s="1"/>
  <c r="Q34" i="116" s="1"/>
  <c r="L399" i="110" s="1"/>
  <c r="AK34" i="116"/>
  <c r="O34" i="116" s="1"/>
  <c r="J399" i="110" s="1"/>
  <c r="AV34" i="116"/>
  <c r="AW34" i="116"/>
  <c r="AX34" i="116"/>
  <c r="V35" i="116"/>
  <c r="Y35" i="116" s="1"/>
  <c r="W35" i="116"/>
  <c r="Z35" i="116" s="1"/>
  <c r="X35" i="116"/>
  <c r="AA35" i="116" s="1"/>
  <c r="AB35" i="116"/>
  <c r="AC35" i="116"/>
  <c r="AD35" i="116"/>
  <c r="AI35" i="116"/>
  <c r="M35" i="116" s="1"/>
  <c r="AJ35" i="116"/>
  <c r="N35" i="116" s="1"/>
  <c r="AK35" i="116"/>
  <c r="O35" i="116" s="1"/>
  <c r="R35" i="116" s="1"/>
  <c r="M400" i="110" s="1"/>
  <c r="AV35" i="116"/>
  <c r="AW35" i="116"/>
  <c r="AX35" i="116"/>
  <c r="V36" i="116"/>
  <c r="Y36" i="116" s="1"/>
  <c r="W36" i="116"/>
  <c r="Z36" i="116" s="1"/>
  <c r="X36" i="116"/>
  <c r="AA36" i="116" s="1"/>
  <c r="AB36" i="116"/>
  <c r="AC36" i="116"/>
  <c r="AD36" i="116"/>
  <c r="AI36" i="116"/>
  <c r="M36" i="116" s="1"/>
  <c r="H401" i="110" s="1"/>
  <c r="AJ36" i="116"/>
  <c r="N36" i="116" s="1"/>
  <c r="Q36" i="116" s="1"/>
  <c r="L401" i="110" s="1"/>
  <c r="AK36" i="116"/>
  <c r="O36" i="116" s="1"/>
  <c r="R36" i="116" s="1"/>
  <c r="M401" i="110" s="1"/>
  <c r="AV36" i="116"/>
  <c r="AW36" i="116"/>
  <c r="AX36" i="116"/>
  <c r="V37" i="116"/>
  <c r="Y37" i="116" s="1"/>
  <c r="W37" i="116"/>
  <c r="Z37" i="116" s="1"/>
  <c r="X37" i="116"/>
  <c r="AA37" i="116" s="1"/>
  <c r="AB37" i="116"/>
  <c r="AC37" i="116"/>
  <c r="AD37" i="116"/>
  <c r="AI37" i="116"/>
  <c r="M37" i="116" s="1"/>
  <c r="H402" i="110" s="1"/>
  <c r="AJ37" i="116"/>
  <c r="N37" i="116" s="1"/>
  <c r="AK37" i="116"/>
  <c r="O37" i="116" s="1"/>
  <c r="AV37" i="116"/>
  <c r="AW37" i="116"/>
  <c r="AX37" i="116"/>
  <c r="V38" i="116"/>
  <c r="Y38" i="116" s="1"/>
  <c r="W38" i="116"/>
  <c r="Z38" i="116" s="1"/>
  <c r="X38" i="116"/>
  <c r="AA38" i="116" s="1"/>
  <c r="AB38" i="116"/>
  <c r="AC38" i="116"/>
  <c r="AD38" i="116"/>
  <c r="AI38" i="116"/>
  <c r="AJ38" i="116"/>
  <c r="N38" i="116" s="1"/>
  <c r="Q38" i="116" s="1"/>
  <c r="L403" i="110" s="1"/>
  <c r="AK38" i="116"/>
  <c r="O38" i="116" s="1"/>
  <c r="R38" i="116" s="1"/>
  <c r="M403" i="110" s="1"/>
  <c r="AV38" i="116"/>
  <c r="AW38" i="116"/>
  <c r="AX38" i="116"/>
  <c r="V39" i="116"/>
  <c r="Y39" i="116" s="1"/>
  <c r="W39" i="116"/>
  <c r="Z39" i="116" s="1"/>
  <c r="X39" i="116"/>
  <c r="AA39" i="116" s="1"/>
  <c r="AB39" i="116"/>
  <c r="AC39" i="116"/>
  <c r="AD39" i="116"/>
  <c r="AI39" i="116"/>
  <c r="M39" i="116" s="1"/>
  <c r="AJ39" i="116"/>
  <c r="N39" i="116" s="1"/>
  <c r="Q39" i="116" s="1"/>
  <c r="L404" i="110" s="1"/>
  <c r="AK39" i="116"/>
  <c r="AV39" i="116"/>
  <c r="AW39" i="116"/>
  <c r="AX39" i="116"/>
  <c r="V40" i="116"/>
  <c r="Y40" i="116" s="1"/>
  <c r="W40" i="116"/>
  <c r="Z40" i="116" s="1"/>
  <c r="X40" i="116"/>
  <c r="AA40" i="116" s="1"/>
  <c r="AB40" i="116"/>
  <c r="AC40" i="116"/>
  <c r="AD40" i="116"/>
  <c r="AI40" i="116"/>
  <c r="M40" i="116" s="1"/>
  <c r="H405" i="110" s="1"/>
  <c r="AJ40" i="116"/>
  <c r="N40" i="116" s="1"/>
  <c r="AK40" i="116"/>
  <c r="O40" i="116" s="1"/>
  <c r="AV40" i="116"/>
  <c r="AW40" i="116"/>
  <c r="AX40" i="116"/>
  <c r="V41" i="116"/>
  <c r="Y41" i="116" s="1"/>
  <c r="W41" i="116"/>
  <c r="Z41" i="116" s="1"/>
  <c r="X41" i="116"/>
  <c r="AA41" i="116" s="1"/>
  <c r="AB41" i="116"/>
  <c r="AC41" i="116"/>
  <c r="AD41" i="116"/>
  <c r="AI41" i="116"/>
  <c r="M41" i="116" s="1"/>
  <c r="AJ41" i="116"/>
  <c r="N41" i="116" s="1"/>
  <c r="I406" i="110" s="1"/>
  <c r="AK41" i="116"/>
  <c r="O41" i="116" s="1"/>
  <c r="AV41" i="116"/>
  <c r="AW41" i="116"/>
  <c r="AX41" i="116"/>
  <c r="V42" i="116"/>
  <c r="Y42" i="116" s="1"/>
  <c r="W42" i="116"/>
  <c r="Z42" i="116" s="1"/>
  <c r="X42" i="116"/>
  <c r="AA42" i="116" s="1"/>
  <c r="AB42" i="116"/>
  <c r="AC42" i="116"/>
  <c r="AD42" i="116"/>
  <c r="AI42" i="116"/>
  <c r="AJ42" i="116"/>
  <c r="N42" i="116" s="1"/>
  <c r="AK42" i="116"/>
  <c r="AV42" i="116"/>
  <c r="AW42" i="116"/>
  <c r="AX42" i="116"/>
  <c r="V43" i="116"/>
  <c r="Y43" i="116" s="1"/>
  <c r="W43" i="116"/>
  <c r="Z43" i="116" s="1"/>
  <c r="X43" i="116"/>
  <c r="AA43" i="116" s="1"/>
  <c r="AB43" i="116"/>
  <c r="AC43" i="116"/>
  <c r="AD43" i="116"/>
  <c r="AI43" i="116"/>
  <c r="M43" i="116" s="1"/>
  <c r="AJ43" i="116"/>
  <c r="AK43" i="116"/>
  <c r="AV43" i="116"/>
  <c r="AW43" i="116"/>
  <c r="AX43" i="116"/>
  <c r="V44" i="116"/>
  <c r="Y44" i="116" s="1"/>
  <c r="W44" i="116"/>
  <c r="X44" i="116"/>
  <c r="AA44" i="116" s="1"/>
  <c r="AB44" i="116"/>
  <c r="AC44" i="116"/>
  <c r="AD44" i="116"/>
  <c r="AI44" i="116"/>
  <c r="M44" i="116" s="1"/>
  <c r="H409" i="110" s="1"/>
  <c r="AJ44" i="116"/>
  <c r="N44" i="116" s="1"/>
  <c r="I409" i="110" s="1"/>
  <c r="AK44" i="116"/>
  <c r="AV44" i="116"/>
  <c r="AW44" i="116"/>
  <c r="AX44" i="116"/>
  <c r="V45" i="116"/>
  <c r="Y45" i="116" s="1"/>
  <c r="W45" i="116"/>
  <c r="Z45" i="116" s="1"/>
  <c r="X45" i="116"/>
  <c r="AA45" i="116" s="1"/>
  <c r="AB45" i="116"/>
  <c r="AC45" i="116"/>
  <c r="AD45" i="116"/>
  <c r="AI45" i="116"/>
  <c r="M45" i="116" s="1"/>
  <c r="AJ45" i="116"/>
  <c r="N45" i="116" s="1"/>
  <c r="AK45" i="116"/>
  <c r="AV45" i="116"/>
  <c r="AW45" i="116"/>
  <c r="AX45" i="116"/>
  <c r="V46" i="116"/>
  <c r="Y46" i="116" s="1"/>
  <c r="W46" i="116"/>
  <c r="Z46" i="116" s="1"/>
  <c r="X46" i="116"/>
  <c r="AA46" i="116" s="1"/>
  <c r="AB46" i="116"/>
  <c r="AC46" i="116"/>
  <c r="AD46" i="116"/>
  <c r="AI46" i="116"/>
  <c r="M46" i="116" s="1"/>
  <c r="AJ46" i="116"/>
  <c r="AK46" i="116"/>
  <c r="O46" i="116" s="1"/>
  <c r="J411" i="110" s="1"/>
  <c r="AV46" i="116"/>
  <c r="AW46" i="116"/>
  <c r="AX46" i="116"/>
  <c r="V47" i="116"/>
  <c r="Y47" i="116" s="1"/>
  <c r="W47" i="116"/>
  <c r="Z47" i="116" s="1"/>
  <c r="X47" i="116"/>
  <c r="AA47" i="116" s="1"/>
  <c r="AB47" i="116"/>
  <c r="AC47" i="116"/>
  <c r="AD47" i="116"/>
  <c r="AI47" i="116"/>
  <c r="M47" i="116" s="1"/>
  <c r="AJ47" i="116"/>
  <c r="N47" i="116" s="1"/>
  <c r="Q47" i="116" s="1"/>
  <c r="L412" i="110" s="1"/>
  <c r="AK47" i="116"/>
  <c r="O47" i="116" s="1"/>
  <c r="J412" i="110" s="1"/>
  <c r="AV47" i="116"/>
  <c r="AW47" i="116"/>
  <c r="AX47" i="116"/>
  <c r="V48" i="116"/>
  <c r="Y48" i="116" s="1"/>
  <c r="W48" i="116"/>
  <c r="Z48" i="116" s="1"/>
  <c r="X48" i="116"/>
  <c r="AA48" i="116"/>
  <c r="AB48" i="116"/>
  <c r="AC48" i="116"/>
  <c r="AD48" i="116"/>
  <c r="AI48" i="116"/>
  <c r="M48" i="116" s="1"/>
  <c r="H413" i="110" s="1"/>
  <c r="AJ48" i="116"/>
  <c r="N48" i="116" s="1"/>
  <c r="I413" i="110" s="1"/>
  <c r="AK48" i="116"/>
  <c r="O48" i="116" s="1"/>
  <c r="J413" i="110" s="1"/>
  <c r="AV48" i="116"/>
  <c r="AW48" i="116"/>
  <c r="AX48" i="116"/>
  <c r="V49" i="116"/>
  <c r="Y49" i="116" s="1"/>
  <c r="W49" i="116"/>
  <c r="Z49" i="116" s="1"/>
  <c r="X49" i="116"/>
  <c r="AA49" i="116" s="1"/>
  <c r="AB49" i="116"/>
  <c r="AC49" i="116"/>
  <c r="AD49" i="116"/>
  <c r="AI49" i="116"/>
  <c r="M49" i="116" s="1"/>
  <c r="AJ49" i="116"/>
  <c r="AK49" i="116"/>
  <c r="O49" i="116" s="1"/>
  <c r="R49" i="116" s="1"/>
  <c r="M414" i="110" s="1"/>
  <c r="AV49" i="116"/>
  <c r="AW49" i="116"/>
  <c r="AX49" i="116"/>
  <c r="V50" i="116"/>
  <c r="Y50" i="116" s="1"/>
  <c r="W50" i="116"/>
  <c r="Z50" i="116" s="1"/>
  <c r="X50" i="116"/>
  <c r="AA50" i="116" s="1"/>
  <c r="AB50" i="116"/>
  <c r="AC50" i="116"/>
  <c r="AD50" i="116"/>
  <c r="AI50" i="116"/>
  <c r="AJ50" i="116"/>
  <c r="AK50" i="116"/>
  <c r="AV50" i="116"/>
  <c r="AW50" i="116"/>
  <c r="AX50" i="116"/>
  <c r="V51" i="116"/>
  <c r="Y51" i="116" s="1"/>
  <c r="W51" i="116"/>
  <c r="Z51" i="116" s="1"/>
  <c r="X51" i="116"/>
  <c r="AA51" i="116" s="1"/>
  <c r="AB51" i="116"/>
  <c r="AC51" i="116"/>
  <c r="AD51" i="116"/>
  <c r="AI51" i="116"/>
  <c r="AJ51" i="116"/>
  <c r="N51" i="116" s="1"/>
  <c r="AK51" i="116"/>
  <c r="AV51" i="116"/>
  <c r="AW51" i="116"/>
  <c r="AX51" i="116"/>
  <c r="V52" i="116"/>
  <c r="Y52" i="116" s="1"/>
  <c r="W52" i="116"/>
  <c r="X52" i="116"/>
  <c r="AA52" i="116" s="1"/>
  <c r="AB52" i="116"/>
  <c r="AC52" i="116"/>
  <c r="AD52" i="116"/>
  <c r="AI52" i="116"/>
  <c r="M52" i="116" s="1"/>
  <c r="H417" i="110" s="1"/>
  <c r="AJ52" i="116"/>
  <c r="AK52" i="116"/>
  <c r="AV52" i="116"/>
  <c r="AW52" i="116"/>
  <c r="AX52" i="116"/>
  <c r="V53" i="116"/>
  <c r="Y53" i="116" s="1"/>
  <c r="W53" i="116"/>
  <c r="Z53" i="116" s="1"/>
  <c r="X53" i="116"/>
  <c r="AA53" i="116" s="1"/>
  <c r="AB53" i="116"/>
  <c r="AC53" i="116"/>
  <c r="AD53" i="116"/>
  <c r="AI53" i="116"/>
  <c r="M53" i="116" s="1"/>
  <c r="H418" i="110" s="1"/>
  <c r="AJ53" i="116"/>
  <c r="N53" i="116" s="1"/>
  <c r="AK53" i="116"/>
  <c r="O53" i="116" s="1"/>
  <c r="AV53" i="116"/>
  <c r="AW53" i="116"/>
  <c r="AX53" i="116"/>
  <c r="V54" i="116"/>
  <c r="Y54" i="116" s="1"/>
  <c r="W54" i="116"/>
  <c r="Z54" i="116" s="1"/>
  <c r="X54" i="116"/>
  <c r="AA54" i="116" s="1"/>
  <c r="AB54" i="116"/>
  <c r="AC54" i="116"/>
  <c r="AD54" i="116"/>
  <c r="AI54" i="116"/>
  <c r="M54" i="116" s="1"/>
  <c r="H419" i="110" s="1"/>
  <c r="AJ54" i="116"/>
  <c r="AK54" i="116"/>
  <c r="AV54" i="116"/>
  <c r="AW54" i="116"/>
  <c r="AX54" i="116"/>
  <c r="V55" i="116"/>
  <c r="Y55" i="116" s="1"/>
  <c r="W55" i="116"/>
  <c r="Z55" i="116" s="1"/>
  <c r="X55" i="116"/>
  <c r="AA55" i="116" s="1"/>
  <c r="AB55" i="116"/>
  <c r="AC55" i="116"/>
  <c r="AD55" i="116"/>
  <c r="AI55" i="116"/>
  <c r="M55" i="116" s="1"/>
  <c r="H420" i="110" s="1"/>
  <c r="AJ55" i="116"/>
  <c r="N55" i="116" s="1"/>
  <c r="AK55" i="116"/>
  <c r="O55" i="116" s="1"/>
  <c r="J420" i="110" s="1"/>
  <c r="AV55" i="116"/>
  <c r="AW55" i="116"/>
  <c r="AX55" i="116"/>
  <c r="V56" i="116"/>
  <c r="Y56" i="116" s="1"/>
  <c r="W56" i="116"/>
  <c r="Z56" i="116" s="1"/>
  <c r="X56" i="116"/>
  <c r="AA56" i="116" s="1"/>
  <c r="AB56" i="116"/>
  <c r="AC56" i="116"/>
  <c r="AD56" i="116"/>
  <c r="AI56" i="116"/>
  <c r="AJ56" i="116"/>
  <c r="N56" i="116" s="1"/>
  <c r="Q56" i="116" s="1"/>
  <c r="L421" i="110" s="1"/>
  <c r="AK56" i="116"/>
  <c r="AV56" i="116"/>
  <c r="AW56" i="116"/>
  <c r="AX56" i="116"/>
  <c r="V57" i="116"/>
  <c r="Y57" i="116" s="1"/>
  <c r="W57" i="116"/>
  <c r="Z57" i="116" s="1"/>
  <c r="X57" i="116"/>
  <c r="AA57" i="116" s="1"/>
  <c r="AB57" i="116"/>
  <c r="AC57" i="116"/>
  <c r="AD57" i="116"/>
  <c r="AI57" i="116"/>
  <c r="AJ57" i="116"/>
  <c r="N57" i="116" s="1"/>
  <c r="I422" i="110" s="1"/>
  <c r="AK57" i="116"/>
  <c r="O57" i="116" s="1"/>
  <c r="J422" i="110" s="1"/>
  <c r="AV57" i="116"/>
  <c r="AW57" i="116"/>
  <c r="AX57" i="116"/>
  <c r="V58" i="116"/>
  <c r="Y58" i="116" s="1"/>
  <c r="W58" i="116"/>
  <c r="Z58" i="116" s="1"/>
  <c r="X58" i="116"/>
  <c r="AA58" i="116" s="1"/>
  <c r="AB58" i="116"/>
  <c r="AC58" i="116"/>
  <c r="AD58" i="116"/>
  <c r="AI58" i="116"/>
  <c r="M58" i="116" s="1"/>
  <c r="H423" i="110" s="1"/>
  <c r="AJ58" i="116"/>
  <c r="N58" i="116" s="1"/>
  <c r="I423" i="110" s="1"/>
  <c r="AK58" i="116"/>
  <c r="AV58" i="116"/>
  <c r="AW58" i="116"/>
  <c r="AX58" i="116"/>
  <c r="V59" i="116"/>
  <c r="Y59" i="116" s="1"/>
  <c r="W59" i="116"/>
  <c r="Z59" i="116" s="1"/>
  <c r="X59" i="116"/>
  <c r="AA59" i="116" s="1"/>
  <c r="AB59" i="116"/>
  <c r="AC59" i="116"/>
  <c r="AD59" i="116"/>
  <c r="AI59" i="116"/>
  <c r="M59" i="116" s="1"/>
  <c r="AJ59" i="116"/>
  <c r="N59" i="116" s="1"/>
  <c r="Q59" i="116" s="1"/>
  <c r="L424" i="110" s="1"/>
  <c r="AK59" i="116"/>
  <c r="O59" i="116" s="1"/>
  <c r="J424" i="110" s="1"/>
  <c r="AV59" i="116"/>
  <c r="AW59" i="116"/>
  <c r="AX59" i="116"/>
  <c r="V60" i="116"/>
  <c r="Y60" i="116" s="1"/>
  <c r="W60" i="116"/>
  <c r="Z60" i="116" s="1"/>
  <c r="X60" i="116"/>
  <c r="AA60" i="116" s="1"/>
  <c r="AB60" i="116"/>
  <c r="AC60" i="116"/>
  <c r="AD60" i="116"/>
  <c r="AI60" i="116"/>
  <c r="AJ60" i="116"/>
  <c r="N60" i="116" s="1"/>
  <c r="AK60" i="116"/>
  <c r="O60" i="116" s="1"/>
  <c r="AV60" i="116"/>
  <c r="AW60" i="116"/>
  <c r="AX60" i="116"/>
  <c r="V61" i="116"/>
  <c r="Y61" i="116" s="1"/>
  <c r="W61" i="116"/>
  <c r="Z61" i="116" s="1"/>
  <c r="X61" i="116"/>
  <c r="AA61" i="116" s="1"/>
  <c r="AB61" i="116"/>
  <c r="AC61" i="116"/>
  <c r="AD61" i="116"/>
  <c r="AI61" i="116"/>
  <c r="M61" i="116" s="1"/>
  <c r="H426" i="110" s="1"/>
  <c r="AJ61" i="116"/>
  <c r="N61" i="116" s="1"/>
  <c r="I426" i="110" s="1"/>
  <c r="AK61" i="116"/>
  <c r="O61" i="116" s="1"/>
  <c r="AV61" i="116"/>
  <c r="AW61" i="116"/>
  <c r="AX61" i="116"/>
  <c r="V62" i="116"/>
  <c r="Y62" i="116" s="1"/>
  <c r="W62" i="116"/>
  <c r="Z62" i="116" s="1"/>
  <c r="X62" i="116"/>
  <c r="AA62" i="116" s="1"/>
  <c r="AB62" i="116"/>
  <c r="AC62" i="116"/>
  <c r="AD62" i="116"/>
  <c r="AI62" i="116"/>
  <c r="M62" i="116" s="1"/>
  <c r="H427" i="110" s="1"/>
  <c r="AJ62" i="116"/>
  <c r="N62" i="116" s="1"/>
  <c r="Q62" i="116" s="1"/>
  <c r="L427" i="110" s="1"/>
  <c r="AK62" i="116"/>
  <c r="O62" i="116" s="1"/>
  <c r="J427" i="110" s="1"/>
  <c r="AV62" i="116"/>
  <c r="AW62" i="116"/>
  <c r="AX62" i="116"/>
  <c r="V63" i="116"/>
  <c r="Y63" i="116" s="1"/>
  <c r="W63" i="116"/>
  <c r="Z63" i="116" s="1"/>
  <c r="X63" i="116"/>
  <c r="AA63" i="116" s="1"/>
  <c r="AB63" i="116"/>
  <c r="AC63" i="116"/>
  <c r="AD63" i="116"/>
  <c r="AI63" i="116"/>
  <c r="M63" i="116" s="1"/>
  <c r="H428" i="110" s="1"/>
  <c r="AJ63" i="116"/>
  <c r="N63" i="116" s="1"/>
  <c r="I428" i="110" s="1"/>
  <c r="AK63" i="116"/>
  <c r="AV63" i="116"/>
  <c r="AW63" i="116"/>
  <c r="AX63" i="116"/>
  <c r="V64" i="116"/>
  <c r="Y64" i="116" s="1"/>
  <c r="W64" i="116"/>
  <c r="Z64" i="116" s="1"/>
  <c r="X64" i="116"/>
  <c r="AA64" i="116" s="1"/>
  <c r="AB64" i="116"/>
  <c r="AC64" i="116"/>
  <c r="AD64" i="116"/>
  <c r="AI64" i="116"/>
  <c r="M64" i="116" s="1"/>
  <c r="AJ64" i="116"/>
  <c r="AK64" i="116"/>
  <c r="O64" i="116" s="1"/>
  <c r="AV64" i="116"/>
  <c r="AW64" i="116"/>
  <c r="AX64" i="116"/>
  <c r="V65" i="116"/>
  <c r="Y65" i="116" s="1"/>
  <c r="W65" i="116"/>
  <c r="Z65" i="116" s="1"/>
  <c r="X65" i="116"/>
  <c r="AA65" i="116" s="1"/>
  <c r="AB65" i="116"/>
  <c r="AC65" i="116"/>
  <c r="AD65" i="116"/>
  <c r="AI65" i="116"/>
  <c r="M65" i="116" s="1"/>
  <c r="AJ65" i="116"/>
  <c r="AK65" i="116"/>
  <c r="O65" i="116" s="1"/>
  <c r="AV65" i="116"/>
  <c r="AW65" i="116"/>
  <c r="AX65" i="116"/>
  <c r="V66" i="116"/>
  <c r="Y66" i="116" s="1"/>
  <c r="W66" i="116"/>
  <c r="Z66" i="116" s="1"/>
  <c r="X66" i="116"/>
  <c r="AA66" i="116" s="1"/>
  <c r="AB66" i="116"/>
  <c r="AC66" i="116"/>
  <c r="AD66" i="116"/>
  <c r="AI66" i="116"/>
  <c r="M66" i="116" s="1"/>
  <c r="H431" i="110" s="1"/>
  <c r="AJ66" i="116"/>
  <c r="N66" i="116" s="1"/>
  <c r="AK66" i="116"/>
  <c r="O66" i="116" s="1"/>
  <c r="J431" i="110" s="1"/>
  <c r="AV66" i="116"/>
  <c r="AW66" i="116"/>
  <c r="AX66" i="116"/>
  <c r="V67" i="116"/>
  <c r="Y67" i="116" s="1"/>
  <c r="W67" i="116"/>
  <c r="Z67" i="116" s="1"/>
  <c r="X67" i="116"/>
  <c r="AB67" i="116"/>
  <c r="AC67" i="116"/>
  <c r="AD67" i="116"/>
  <c r="AI67" i="116"/>
  <c r="M67" i="116" s="1"/>
  <c r="AJ67" i="116"/>
  <c r="AK67" i="116"/>
  <c r="O67" i="116" s="1"/>
  <c r="R67" i="116" s="1"/>
  <c r="M432" i="110" s="1"/>
  <c r="AV67" i="116"/>
  <c r="AW67" i="116"/>
  <c r="AX67" i="116"/>
  <c r="V68" i="116"/>
  <c r="Y68" i="116" s="1"/>
  <c r="W68" i="116"/>
  <c r="Z68" i="116" s="1"/>
  <c r="X68" i="116"/>
  <c r="AA68" i="116" s="1"/>
  <c r="AB68" i="116"/>
  <c r="AC68" i="116"/>
  <c r="AD68" i="116"/>
  <c r="AI68" i="116"/>
  <c r="M68" i="116" s="1"/>
  <c r="P68" i="116" s="1"/>
  <c r="K433" i="110" s="1"/>
  <c r="AJ68" i="116"/>
  <c r="N68" i="116" s="1"/>
  <c r="Q68" i="116" s="1"/>
  <c r="L433" i="110" s="1"/>
  <c r="AK68" i="116"/>
  <c r="O68" i="116" s="1"/>
  <c r="AV68" i="116"/>
  <c r="AW68" i="116"/>
  <c r="AX68" i="116"/>
  <c r="V69" i="116"/>
  <c r="Y69" i="116" s="1"/>
  <c r="W69" i="116"/>
  <c r="Z69" i="116" s="1"/>
  <c r="X69" i="116"/>
  <c r="AB69" i="116"/>
  <c r="AC69" i="116"/>
  <c r="AD69" i="116"/>
  <c r="AI69" i="116"/>
  <c r="M69" i="116" s="1"/>
  <c r="P69" i="116" s="1"/>
  <c r="K434" i="110" s="1"/>
  <c r="AJ69" i="116"/>
  <c r="N69" i="116" s="1"/>
  <c r="I434" i="110" s="1"/>
  <c r="AK69" i="116"/>
  <c r="O69" i="116" s="1"/>
  <c r="J434" i="110" s="1"/>
  <c r="AV69" i="116"/>
  <c r="AW69" i="116"/>
  <c r="AX69" i="116"/>
  <c r="V70" i="116"/>
  <c r="Y70" i="116" s="1"/>
  <c r="W70" i="116"/>
  <c r="Z70" i="116" s="1"/>
  <c r="X70" i="116"/>
  <c r="AA70" i="116" s="1"/>
  <c r="AB70" i="116"/>
  <c r="AC70" i="116"/>
  <c r="AD70" i="116"/>
  <c r="AI70" i="116"/>
  <c r="M70" i="116" s="1"/>
  <c r="AJ70" i="116"/>
  <c r="N70" i="116" s="1"/>
  <c r="I435" i="110" s="1"/>
  <c r="AK70" i="116"/>
  <c r="O70" i="116" s="1"/>
  <c r="AV70" i="116"/>
  <c r="AW70" i="116"/>
  <c r="AX70" i="116"/>
  <c r="V71" i="116"/>
  <c r="Y71" i="116" s="1"/>
  <c r="W71" i="116"/>
  <c r="Z71" i="116" s="1"/>
  <c r="X71" i="116"/>
  <c r="AB71" i="116"/>
  <c r="AC71" i="116"/>
  <c r="AD71" i="116"/>
  <c r="AI71" i="116"/>
  <c r="AJ71" i="116"/>
  <c r="N71" i="116" s="1"/>
  <c r="Q71" i="116" s="1"/>
  <c r="L436" i="110" s="1"/>
  <c r="AK71" i="116"/>
  <c r="AV71" i="116"/>
  <c r="AW71" i="116"/>
  <c r="AX71" i="116"/>
  <c r="V72" i="116"/>
  <c r="Y72" i="116" s="1"/>
  <c r="W72" i="116"/>
  <c r="Z72" i="116" s="1"/>
  <c r="X72" i="116"/>
  <c r="AA72" i="116" s="1"/>
  <c r="AB72" i="116"/>
  <c r="AC72" i="116"/>
  <c r="AD72" i="116"/>
  <c r="AI72" i="116"/>
  <c r="AJ72" i="116"/>
  <c r="N72" i="116" s="1"/>
  <c r="AK72" i="116"/>
  <c r="AV72" i="116"/>
  <c r="AW72" i="116"/>
  <c r="AX72" i="116"/>
  <c r="V73" i="116"/>
  <c r="Y73" i="116" s="1"/>
  <c r="W73" i="116"/>
  <c r="Z73" i="116" s="1"/>
  <c r="X73" i="116"/>
  <c r="AA73" i="116"/>
  <c r="AB73" i="116"/>
  <c r="AC73" i="116"/>
  <c r="AD73" i="116"/>
  <c r="AI73" i="116"/>
  <c r="M73" i="116" s="1"/>
  <c r="P73" i="116" s="1"/>
  <c r="AJ73" i="116"/>
  <c r="N73" i="116" s="1"/>
  <c r="Q73" i="116" s="1"/>
  <c r="AK73" i="116"/>
  <c r="O73" i="116" s="1"/>
  <c r="R73" i="116" s="1"/>
  <c r="AV73" i="116"/>
  <c r="AW73" i="116"/>
  <c r="AX73" i="116"/>
  <c r="V74" i="116"/>
  <c r="Y74" i="116" s="1"/>
  <c r="W74" i="116"/>
  <c r="Z74" i="116" s="1"/>
  <c r="X74" i="116"/>
  <c r="AB74" i="116"/>
  <c r="AR74" i="116" s="1"/>
  <c r="AC74" i="116"/>
  <c r="AD74" i="116"/>
  <c r="AI74" i="116"/>
  <c r="M74" i="116" s="1"/>
  <c r="H438" i="110" s="1"/>
  <c r="AJ74" i="116"/>
  <c r="N74" i="116" s="1"/>
  <c r="AK74" i="116"/>
  <c r="O74" i="116" s="1"/>
  <c r="J438" i="110" s="1"/>
  <c r="AV74" i="116"/>
  <c r="AW74" i="116"/>
  <c r="AX74" i="116"/>
  <c r="V75" i="116"/>
  <c r="Y75" i="116" s="1"/>
  <c r="W75" i="116"/>
  <c r="Z75" i="116" s="1"/>
  <c r="X75" i="116"/>
  <c r="AA75" i="116" s="1"/>
  <c r="AB75" i="116"/>
  <c r="AC75" i="116"/>
  <c r="AD75" i="116"/>
  <c r="AI75" i="116"/>
  <c r="M75" i="116" s="1"/>
  <c r="H439" i="110" s="1"/>
  <c r="AJ75" i="116"/>
  <c r="N75" i="116" s="1"/>
  <c r="AK75" i="116"/>
  <c r="AV75" i="116"/>
  <c r="AW75" i="116"/>
  <c r="AX75" i="116"/>
  <c r="V76" i="116"/>
  <c r="Y76" i="116" s="1"/>
  <c r="W76" i="116"/>
  <c r="Z76" i="116" s="1"/>
  <c r="X76" i="116"/>
  <c r="AA76" i="116" s="1"/>
  <c r="AB76" i="116"/>
  <c r="AC76" i="116"/>
  <c r="AD76" i="116"/>
  <c r="AI76" i="116"/>
  <c r="AJ76" i="116"/>
  <c r="N76" i="116" s="1"/>
  <c r="I440" i="110" s="1"/>
  <c r="AK76" i="116"/>
  <c r="O76" i="116" s="1"/>
  <c r="R76" i="116" s="1"/>
  <c r="M440" i="110" s="1"/>
  <c r="AV76" i="116"/>
  <c r="AW76" i="116"/>
  <c r="AX76" i="116"/>
  <c r="V77" i="116"/>
  <c r="Y77" i="116" s="1"/>
  <c r="W77" i="116"/>
  <c r="Z77" i="116" s="1"/>
  <c r="X77" i="116"/>
  <c r="AA77" i="116" s="1"/>
  <c r="AB77" i="116"/>
  <c r="AC77" i="116"/>
  <c r="AD77" i="116"/>
  <c r="AI77" i="116"/>
  <c r="M77" i="116" s="1"/>
  <c r="AJ77" i="116"/>
  <c r="N77" i="116" s="1"/>
  <c r="Q77" i="116" s="1"/>
  <c r="L441" i="110" s="1"/>
  <c r="AK77" i="116"/>
  <c r="O77" i="116" s="1"/>
  <c r="J441" i="110" s="1"/>
  <c r="AV77" i="116"/>
  <c r="AW77" i="116"/>
  <c r="AX77" i="116"/>
  <c r="V78" i="116"/>
  <c r="Y78" i="116" s="1"/>
  <c r="W78" i="116"/>
  <c r="Z78" i="116" s="1"/>
  <c r="X78" i="116"/>
  <c r="AB78" i="116"/>
  <c r="AC78" i="116"/>
  <c r="AD78" i="116"/>
  <c r="AI78" i="116"/>
  <c r="M78" i="116" s="1"/>
  <c r="AJ78" i="116"/>
  <c r="AK78" i="116"/>
  <c r="O78" i="116" s="1"/>
  <c r="AV78" i="116"/>
  <c r="AW78" i="116"/>
  <c r="AX78" i="116"/>
  <c r="V79" i="116"/>
  <c r="Y79" i="116" s="1"/>
  <c r="W79" i="116"/>
  <c r="Z79" i="116" s="1"/>
  <c r="X79" i="116"/>
  <c r="AA79" i="116"/>
  <c r="AB79" i="116"/>
  <c r="AC79" i="116"/>
  <c r="AD79" i="116"/>
  <c r="AI79" i="116"/>
  <c r="AJ79" i="116"/>
  <c r="N79" i="116" s="1"/>
  <c r="Q79" i="116" s="1"/>
  <c r="L443" i="110" s="1"/>
  <c r="AK79" i="116"/>
  <c r="AV79" i="116"/>
  <c r="AW79" i="116"/>
  <c r="AX79" i="116"/>
  <c r="V80" i="116"/>
  <c r="Y80" i="116" s="1"/>
  <c r="W80" i="116"/>
  <c r="Z80" i="116" s="1"/>
  <c r="X80" i="116"/>
  <c r="AA80" i="116" s="1"/>
  <c r="AB80" i="116"/>
  <c r="AC80" i="116"/>
  <c r="AD80" i="116"/>
  <c r="AI80" i="116"/>
  <c r="M80" i="116" s="1"/>
  <c r="H444" i="110" s="1"/>
  <c r="AJ80" i="116"/>
  <c r="N80" i="116" s="1"/>
  <c r="Q80" i="116" s="1"/>
  <c r="L444" i="110" s="1"/>
  <c r="AK80" i="116"/>
  <c r="O80" i="116" s="1"/>
  <c r="R80" i="116" s="1"/>
  <c r="M444" i="110" s="1"/>
  <c r="AV80" i="116"/>
  <c r="AW80" i="116"/>
  <c r="AX80" i="116"/>
  <c r="V81" i="116"/>
  <c r="Y81" i="116" s="1"/>
  <c r="W81" i="116"/>
  <c r="X81" i="116"/>
  <c r="AA81" i="116" s="1"/>
  <c r="AB81" i="116"/>
  <c r="AC81" i="116"/>
  <c r="AD81" i="116"/>
  <c r="AI81" i="116"/>
  <c r="M81" i="116" s="1"/>
  <c r="AJ81" i="116"/>
  <c r="N81" i="116" s="1"/>
  <c r="I445" i="110" s="1"/>
  <c r="AK81" i="116"/>
  <c r="O81" i="116" s="1"/>
  <c r="J445" i="110" s="1"/>
  <c r="AV81" i="116"/>
  <c r="AW81" i="116"/>
  <c r="AX81" i="116"/>
  <c r="V82" i="116"/>
  <c r="Y82" i="116" s="1"/>
  <c r="W82" i="116"/>
  <c r="Z82" i="116" s="1"/>
  <c r="X82" i="116"/>
  <c r="AA82" i="116" s="1"/>
  <c r="AB82" i="116"/>
  <c r="AC82" i="116"/>
  <c r="AD82" i="116"/>
  <c r="AI82" i="116"/>
  <c r="M82" i="116" s="1"/>
  <c r="AJ82" i="116"/>
  <c r="N82" i="116" s="1"/>
  <c r="I446" i="110" s="1"/>
  <c r="AK82" i="116"/>
  <c r="AV82" i="116"/>
  <c r="AW82" i="116"/>
  <c r="AX82" i="116"/>
  <c r="V83" i="116"/>
  <c r="Y83" i="116" s="1"/>
  <c r="W83" i="116"/>
  <c r="Z83" i="116" s="1"/>
  <c r="X83" i="116"/>
  <c r="AA83" i="116" s="1"/>
  <c r="AB83" i="116"/>
  <c r="AC83" i="116"/>
  <c r="AD83" i="116"/>
  <c r="AI83" i="116"/>
  <c r="M83" i="116" s="1"/>
  <c r="P83" i="116" s="1"/>
  <c r="K447" i="110" s="1"/>
  <c r="AJ83" i="116"/>
  <c r="AK83" i="116"/>
  <c r="O83" i="116" s="1"/>
  <c r="R83" i="116" s="1"/>
  <c r="M447" i="110" s="1"/>
  <c r="AV83" i="116"/>
  <c r="AW83" i="116"/>
  <c r="AX83" i="116"/>
  <c r="V84" i="116"/>
  <c r="Y84" i="116" s="1"/>
  <c r="W84" i="116"/>
  <c r="Z84" i="116" s="1"/>
  <c r="X84" i="116"/>
  <c r="AB84" i="116"/>
  <c r="AC84" i="116"/>
  <c r="AD84" i="116"/>
  <c r="AI84" i="116"/>
  <c r="M84" i="116" s="1"/>
  <c r="AJ84" i="116"/>
  <c r="N84" i="116" s="1"/>
  <c r="AK84" i="116"/>
  <c r="O84" i="116" s="1"/>
  <c r="J448" i="110" s="1"/>
  <c r="AV84" i="116"/>
  <c r="AW84" i="116"/>
  <c r="AX84" i="116"/>
  <c r="M311" i="110"/>
  <c r="K315" i="110"/>
  <c r="AZ8" i="123"/>
  <c r="BA8" i="123"/>
  <c r="BB8" i="123"/>
  <c r="BC8" i="123"/>
  <c r="BJ8" i="123"/>
  <c r="BK8" i="123"/>
  <c r="AX8" i="123"/>
  <c r="AY8" i="123"/>
  <c r="BH8" i="123"/>
  <c r="BI8" i="123"/>
  <c r="BL8" i="123"/>
  <c r="BM8" i="123"/>
  <c r="AX9" i="123"/>
  <c r="AZ9" i="123"/>
  <c r="BA9" i="123"/>
  <c r="BB9" i="123"/>
  <c r="BC9" i="123"/>
  <c r="BI9" i="123"/>
  <c r="BJ9" i="123"/>
  <c r="BK9" i="123"/>
  <c r="BL9" i="123"/>
  <c r="BM9" i="123"/>
  <c r="AY9" i="123"/>
  <c r="BH9" i="123"/>
  <c r="AX10" i="123"/>
  <c r="AY10" i="123"/>
  <c r="AZ10" i="123"/>
  <c r="BA10" i="123"/>
  <c r="BB10" i="123"/>
  <c r="BC10" i="123"/>
  <c r="BH10" i="123"/>
  <c r="BI10" i="123"/>
  <c r="BJ10" i="123"/>
  <c r="BK10" i="123"/>
  <c r="BL10" i="123"/>
  <c r="BM10" i="123"/>
  <c r="AX11" i="123"/>
  <c r="AY11" i="123"/>
  <c r="AZ11" i="123"/>
  <c r="BA11" i="123"/>
  <c r="BC11" i="123"/>
  <c r="BH11" i="123"/>
  <c r="BI11" i="123"/>
  <c r="BJ11" i="123"/>
  <c r="BK11" i="123"/>
  <c r="BB11" i="123"/>
  <c r="BL11" i="123"/>
  <c r="BM11" i="123"/>
  <c r="AZ12" i="123"/>
  <c r="BA12" i="123"/>
  <c r="BB12" i="123"/>
  <c r="BC12" i="123"/>
  <c r="BJ12" i="123"/>
  <c r="BK12" i="123"/>
  <c r="AX12" i="123"/>
  <c r="AY12" i="123"/>
  <c r="BH12" i="123"/>
  <c r="BI12" i="123"/>
  <c r="BL12" i="123"/>
  <c r="BM12" i="123"/>
  <c r="AX13" i="123"/>
  <c r="AZ13" i="123"/>
  <c r="BA13" i="123"/>
  <c r="BB13" i="123"/>
  <c r="BC13" i="123"/>
  <c r="BI13" i="123"/>
  <c r="BJ13" i="123"/>
  <c r="BK13" i="123"/>
  <c r="BL13" i="123"/>
  <c r="BM13" i="123"/>
  <c r="AY13" i="123"/>
  <c r="BH13" i="123"/>
  <c r="AX14" i="123"/>
  <c r="AY14" i="123"/>
  <c r="AZ14" i="123"/>
  <c r="BA14" i="123"/>
  <c r="BB14" i="123"/>
  <c r="BC14" i="123"/>
  <c r="BH14" i="123"/>
  <c r="BI14" i="123"/>
  <c r="BJ14" i="123"/>
  <c r="BK14" i="123"/>
  <c r="BL14" i="123"/>
  <c r="BM14" i="123"/>
  <c r="AX15" i="123"/>
  <c r="AY15" i="123"/>
  <c r="AZ15" i="123"/>
  <c r="BA15" i="123"/>
  <c r="BC15" i="123"/>
  <c r="BH15" i="123"/>
  <c r="BI15" i="123"/>
  <c r="BJ15" i="123"/>
  <c r="BK15" i="123"/>
  <c r="BB15" i="123"/>
  <c r="BL15" i="123"/>
  <c r="BM15" i="123"/>
  <c r="AZ16" i="123"/>
  <c r="BA16" i="123"/>
  <c r="BB16" i="123"/>
  <c r="BC16" i="123"/>
  <c r="BJ16" i="123"/>
  <c r="BK16" i="123"/>
  <c r="AX16" i="123"/>
  <c r="AY16" i="123"/>
  <c r="BH16" i="123"/>
  <c r="BI16" i="123"/>
  <c r="BL16" i="123"/>
  <c r="BM16" i="123"/>
  <c r="AX17" i="123"/>
  <c r="AZ17" i="123"/>
  <c r="BA17" i="123"/>
  <c r="BB17" i="123"/>
  <c r="BC17" i="123"/>
  <c r="BI17" i="123"/>
  <c r="BJ17" i="123"/>
  <c r="BK17" i="123"/>
  <c r="BL17" i="123"/>
  <c r="BM17" i="123"/>
  <c r="AY17" i="123"/>
  <c r="BH17" i="123"/>
  <c r="BA18" i="123"/>
  <c r="BB18" i="123"/>
  <c r="BC18" i="123"/>
  <c r="BH18" i="123"/>
  <c r="BK18" i="123"/>
  <c r="BL18" i="123"/>
  <c r="AX18" i="123"/>
  <c r="AY18" i="123"/>
  <c r="AZ18" i="123"/>
  <c r="BI18" i="123"/>
  <c r="BJ18" i="123"/>
  <c r="BM18" i="123"/>
  <c r="AX19" i="123"/>
  <c r="AY19" i="123"/>
  <c r="AZ19" i="123"/>
  <c r="BA19" i="123"/>
  <c r="BB19" i="123"/>
  <c r="BC19" i="123"/>
  <c r="BH19" i="123"/>
  <c r="BI19" i="123"/>
  <c r="BJ19" i="123"/>
  <c r="BK19" i="123"/>
  <c r="BL19" i="123"/>
  <c r="BM19" i="123"/>
  <c r="AY20" i="123"/>
  <c r="AZ20" i="123"/>
  <c r="BA20" i="123"/>
  <c r="BB20" i="123"/>
  <c r="BC20" i="123"/>
  <c r="BH20" i="123"/>
  <c r="BI20" i="123"/>
  <c r="BK20" i="123"/>
  <c r="BL20" i="123"/>
  <c r="BM20" i="123"/>
  <c r="AX20" i="123"/>
  <c r="BJ20" i="123"/>
  <c r="AY21" i="123"/>
  <c r="AZ21" i="123"/>
  <c r="BA21" i="123"/>
  <c r="BH21" i="123"/>
  <c r="BI21" i="123"/>
  <c r="BL21" i="123"/>
  <c r="BM21" i="123"/>
  <c r="AX21" i="123"/>
  <c r="BB21" i="123"/>
  <c r="BC21" i="123"/>
  <c r="BJ21" i="123"/>
  <c r="BK21" i="123"/>
  <c r="AX22" i="123"/>
  <c r="AY22" i="123"/>
  <c r="AZ22" i="123"/>
  <c r="BA22" i="123"/>
  <c r="BB22" i="123"/>
  <c r="BH22" i="123"/>
  <c r="BI22" i="123"/>
  <c r="BJ22" i="123"/>
  <c r="BK22" i="123"/>
  <c r="BL22" i="123"/>
  <c r="BC22" i="123"/>
  <c r="BM22" i="123"/>
  <c r="AX24" i="123"/>
  <c r="AY24" i="123"/>
  <c r="AZ24" i="123"/>
  <c r="BA24" i="123"/>
  <c r="BB24" i="123"/>
  <c r="BC24" i="123"/>
  <c r="BH24" i="123"/>
  <c r="BI24" i="123"/>
  <c r="BJ24" i="123"/>
  <c r="BK24" i="123"/>
  <c r="BL24" i="123"/>
  <c r="BM24" i="123"/>
  <c r="AX26" i="123"/>
  <c r="AY26" i="123"/>
  <c r="AZ26" i="123"/>
  <c r="BA26" i="123"/>
  <c r="BB26" i="123"/>
  <c r="BC26" i="123"/>
  <c r="BH26" i="123"/>
  <c r="BI26" i="123"/>
  <c r="BJ26" i="123"/>
  <c r="BK26" i="123"/>
  <c r="BL26" i="123"/>
  <c r="BM26" i="123"/>
  <c r="AX28" i="123"/>
  <c r="AY28" i="123"/>
  <c r="AZ28" i="123"/>
  <c r="BA28" i="123"/>
  <c r="BB28" i="123"/>
  <c r="BC28" i="123"/>
  <c r="BH28" i="123"/>
  <c r="BI28" i="123"/>
  <c r="BJ28" i="123"/>
  <c r="BK28" i="123"/>
  <c r="BL28" i="123"/>
  <c r="BM28" i="123"/>
  <c r="M15" i="108"/>
  <c r="M16" i="108"/>
  <c r="L16" i="108"/>
  <c r="M17" i="108"/>
  <c r="K17" i="108"/>
  <c r="K25" i="108"/>
  <c r="M25" i="108"/>
  <c r="K26" i="108"/>
  <c r="M27" i="108"/>
  <c r="L28" i="108"/>
  <c r="M29" i="108"/>
  <c r="M30" i="108"/>
  <c r="L31" i="108"/>
  <c r="M31" i="108"/>
  <c r="M33" i="108"/>
  <c r="L34" i="108"/>
  <c r="K34" i="108"/>
  <c r="M34" i="108"/>
  <c r="M35" i="108"/>
  <c r="K37" i="108"/>
  <c r="L37" i="108"/>
  <c r="M37" i="108"/>
  <c r="G38" i="108"/>
  <c r="K38" i="108"/>
  <c r="L38" i="108"/>
  <c r="M38" i="108"/>
  <c r="L39" i="108"/>
  <c r="M39" i="108"/>
  <c r="K39" i="108"/>
  <c r="K40" i="108"/>
  <c r="L40" i="108"/>
  <c r="M40" i="108"/>
  <c r="M41" i="108"/>
  <c r="L41" i="108"/>
  <c r="M42" i="108"/>
  <c r="M43" i="108"/>
  <c r="L44" i="108"/>
  <c r="M44" i="108"/>
  <c r="K45" i="108"/>
  <c r="M45" i="108"/>
  <c r="K46" i="108"/>
  <c r="M46" i="108"/>
  <c r="L46" i="108"/>
  <c r="L47" i="108"/>
  <c r="M47" i="108"/>
  <c r="K48" i="108"/>
  <c r="L48" i="108"/>
  <c r="M48" i="108"/>
  <c r="K52" i="108"/>
  <c r="K53" i="108"/>
  <c r="M53" i="108"/>
  <c r="L53" i="108"/>
  <c r="L79" i="108"/>
  <c r="L80" i="108"/>
  <c r="M80" i="108"/>
  <c r="L81" i="108"/>
  <c r="M81" i="108"/>
  <c r="L82" i="108"/>
  <c r="K82" i="108"/>
  <c r="L83" i="108"/>
  <c r="M83" i="108"/>
  <c r="L84" i="108"/>
  <c r="K85" i="108"/>
  <c r="L86" i="108"/>
  <c r="M86" i="108"/>
  <c r="K87" i="108"/>
  <c r="L87" i="108"/>
  <c r="M87" i="108"/>
  <c r="K88" i="108"/>
  <c r="M88" i="108"/>
  <c r="L90" i="108"/>
  <c r="M90" i="108"/>
  <c r="L91" i="108"/>
  <c r="G92" i="108"/>
  <c r="K92" i="108"/>
  <c r="L92" i="108"/>
  <c r="M92" i="108"/>
  <c r="M93" i="108"/>
  <c r="M94" i="108"/>
  <c r="M95" i="108"/>
  <c r="L95" i="108"/>
  <c r="L96" i="108"/>
  <c r="K97" i="108"/>
  <c r="L97" i="108"/>
  <c r="K98" i="108"/>
  <c r="L99" i="108"/>
  <c r="K100" i="108"/>
  <c r="L100" i="108"/>
  <c r="M101" i="108"/>
  <c r="M103" i="108"/>
  <c r="K103" i="108"/>
  <c r="M104" i="108"/>
  <c r="L105" i="108"/>
  <c r="M106" i="108"/>
  <c r="L107" i="108"/>
  <c r="L108" i="108"/>
  <c r="M108" i="108"/>
  <c r="L109" i="108"/>
  <c r="K110" i="108"/>
  <c r="M110" i="108"/>
  <c r="K111" i="108"/>
  <c r="L111" i="108"/>
  <c r="M111" i="108"/>
  <c r="M112" i="108"/>
  <c r="L113" i="108"/>
  <c r="M114" i="108"/>
  <c r="K115" i="108"/>
  <c r="K116" i="108"/>
  <c r="L116" i="108"/>
  <c r="M116" i="108"/>
  <c r="M117" i="108"/>
  <c r="L117" i="108"/>
  <c r="L118" i="108"/>
  <c r="M118" i="108"/>
  <c r="K119" i="108"/>
  <c r="M119" i="108"/>
  <c r="K120" i="108"/>
  <c r="L120" i="108"/>
  <c r="M120" i="108"/>
  <c r="L121" i="108"/>
  <c r="K122" i="108"/>
  <c r="L122" i="108"/>
  <c r="M122" i="108"/>
  <c r="L123" i="108"/>
  <c r="M123" i="108"/>
  <c r="L124" i="108"/>
  <c r="M124" i="108"/>
  <c r="L125" i="108"/>
  <c r="M125" i="108"/>
  <c r="L126" i="108"/>
  <c r="N126" i="108" s="1"/>
  <c r="M126" i="108"/>
  <c r="L127" i="108"/>
  <c r="M127" i="108"/>
  <c r="M128" i="108"/>
  <c r="L128" i="108"/>
  <c r="L129" i="108"/>
  <c r="M129" i="108"/>
  <c r="K130" i="108"/>
  <c r="M130" i="108"/>
  <c r="L130" i="108"/>
  <c r="K131" i="108"/>
  <c r="L131" i="108"/>
  <c r="M131" i="108"/>
  <c r="K132" i="108"/>
  <c r="L132" i="108"/>
  <c r="M132" i="108"/>
  <c r="K133" i="108"/>
  <c r="L133" i="108"/>
  <c r="M133" i="108"/>
  <c r="K134" i="108"/>
  <c r="L134" i="108"/>
  <c r="M134" i="108"/>
  <c r="K135" i="108"/>
  <c r="L135" i="108"/>
  <c r="M135" i="108"/>
  <c r="K136" i="108"/>
  <c r="L136" i="108"/>
  <c r="M136" i="108"/>
  <c r="K137" i="108"/>
  <c r="M137" i="108"/>
  <c r="K138" i="108"/>
  <c r="L138" i="108"/>
  <c r="M138" i="108"/>
  <c r="K140" i="108"/>
  <c r="L140" i="108"/>
  <c r="M140" i="108"/>
  <c r="M142" i="108"/>
  <c r="K143" i="108"/>
  <c r="M143" i="108"/>
  <c r="M144" i="108"/>
  <c r="M145" i="108"/>
  <c r="L145" i="108"/>
  <c r="M146" i="108"/>
  <c r="M147" i="108"/>
  <c r="K148" i="108"/>
  <c r="M148" i="108"/>
  <c r="K149" i="108"/>
  <c r="M149" i="108"/>
  <c r="L149" i="108"/>
  <c r="L150" i="108"/>
  <c r="M150" i="108"/>
  <c r="K150" i="108"/>
  <c r="K151" i="108"/>
  <c r="L151" i="108"/>
  <c r="M151" i="108"/>
  <c r="K152" i="108"/>
  <c r="M152" i="108"/>
  <c r="L152" i="108"/>
  <c r="K153" i="108"/>
  <c r="L153" i="108"/>
  <c r="L154" i="108"/>
  <c r="M154" i="108"/>
  <c r="K155" i="108"/>
  <c r="L155" i="108"/>
  <c r="L156" i="108"/>
  <c r="M156" i="108"/>
  <c r="L157" i="108"/>
  <c r="K157" i="108"/>
  <c r="L158" i="108"/>
  <c r="M158" i="108"/>
  <c r="K159" i="108"/>
  <c r="L159" i="108"/>
  <c r="M160" i="108"/>
  <c r="L160" i="108"/>
  <c r="M161" i="108"/>
  <c r="K161" i="108"/>
  <c r="L161" i="108"/>
  <c r="K162" i="108"/>
  <c r="L162" i="108"/>
  <c r="M163" i="108"/>
  <c r="L163" i="108"/>
  <c r="K164" i="108"/>
  <c r="L164" i="108"/>
  <c r="L165" i="108"/>
  <c r="M165" i="108"/>
  <c r="K166" i="108"/>
  <c r="L166" i="108"/>
  <c r="L167" i="108"/>
  <c r="M167" i="108"/>
  <c r="K168" i="108"/>
  <c r="L168" i="108"/>
  <c r="L169" i="108"/>
  <c r="M169" i="108"/>
  <c r="K170" i="108"/>
  <c r="L170" i="108"/>
  <c r="L171" i="108"/>
  <c r="N171" i="108" s="1"/>
  <c r="M171" i="108"/>
  <c r="K172" i="108"/>
  <c r="L172" i="108"/>
  <c r="M173" i="108"/>
  <c r="L173" i="108"/>
  <c r="K174" i="108"/>
  <c r="L175" i="108"/>
  <c r="L176" i="108"/>
  <c r="L177" i="108"/>
  <c r="K177" i="108"/>
  <c r="M177" i="108"/>
  <c r="L178" i="108"/>
  <c r="K179" i="108"/>
  <c r="L179" i="108"/>
  <c r="L180" i="108"/>
  <c r="M180" i="108"/>
  <c r="K181" i="108"/>
  <c r="M181" i="108"/>
  <c r="L182" i="108"/>
  <c r="M182" i="108"/>
  <c r="K182" i="108"/>
  <c r="L183" i="108"/>
  <c r="L184" i="108"/>
  <c r="M184" i="108"/>
  <c r="N184" i="108" s="1"/>
  <c r="K185" i="108"/>
  <c r="L185" i="108"/>
  <c r="M185" i="108"/>
  <c r="K186" i="108"/>
  <c r="L186" i="108"/>
  <c r="M186" i="108"/>
  <c r="M187" i="108"/>
  <c r="K188" i="108"/>
  <c r="L188" i="108"/>
  <c r="L189" i="108"/>
  <c r="K190" i="108"/>
  <c r="L190" i="108"/>
  <c r="M191" i="108"/>
  <c r="K192" i="108"/>
  <c r="L192" i="108"/>
  <c r="M192" i="108"/>
  <c r="L193" i="108"/>
  <c r="M193" i="108"/>
  <c r="K194" i="108"/>
  <c r="L194" i="108"/>
  <c r="M194" i="108"/>
  <c r="M195" i="108"/>
  <c r="L195" i="108"/>
  <c r="K196" i="108"/>
  <c r="L196" i="108"/>
  <c r="M196" i="108"/>
  <c r="G197" i="108"/>
  <c r="K197" i="108"/>
  <c r="L197" i="108"/>
  <c r="M197" i="108"/>
  <c r="K198" i="108"/>
  <c r="L198" i="108"/>
  <c r="M198" i="108"/>
  <c r="L199" i="108"/>
  <c r="K200" i="108"/>
  <c r="L200" i="108"/>
  <c r="M200" i="108"/>
  <c r="K201" i="108"/>
  <c r="L201" i="108"/>
  <c r="M201" i="108"/>
  <c r="K202" i="108"/>
  <c r="L202" i="108"/>
  <c r="M202" i="108"/>
  <c r="M203" i="108"/>
  <c r="K204" i="108"/>
  <c r="L204" i="108"/>
  <c r="L205" i="108"/>
  <c r="M205" i="108"/>
  <c r="K205" i="108"/>
  <c r="M208" i="108"/>
  <c r="M209" i="108"/>
  <c r="L209" i="108"/>
  <c r="K210" i="108"/>
  <c r="L210" i="108"/>
  <c r="M210" i="108"/>
  <c r="L211" i="108"/>
  <c r="M211" i="108"/>
  <c r="L212" i="108"/>
  <c r="L213" i="108"/>
  <c r="M213" i="108"/>
  <c r="M214" i="108"/>
  <c r="L214" i="108"/>
  <c r="K215" i="108"/>
  <c r="L215" i="108"/>
  <c r="M215" i="108"/>
  <c r="K216" i="108"/>
  <c r="L217" i="108"/>
  <c r="L218" i="108"/>
  <c r="K218" i="108"/>
  <c r="L219" i="108"/>
  <c r="L220" i="108"/>
  <c r="L221" i="108"/>
  <c r="K221" i="108"/>
  <c r="L222" i="108"/>
  <c r="G223" i="108"/>
  <c r="M223" i="108"/>
  <c r="L224" i="108"/>
  <c r="L225" i="108"/>
  <c r="K226" i="108"/>
  <c r="L226" i="108"/>
  <c r="M226" i="108"/>
  <c r="L227" i="108"/>
  <c r="L228" i="108"/>
  <c r="L229" i="108"/>
  <c r="M229" i="108"/>
  <c r="L230" i="108"/>
  <c r="M230" i="108"/>
  <c r="L231" i="108"/>
  <c r="M232" i="108"/>
  <c r="K233" i="108"/>
  <c r="L233" i="108"/>
  <c r="K234" i="108"/>
  <c r="L234" i="108"/>
  <c r="M234" i="108"/>
  <c r="K235" i="108"/>
  <c r="L235" i="108"/>
  <c r="M235" i="108"/>
  <c r="L236" i="108"/>
  <c r="L237" i="108"/>
  <c r="L238" i="108"/>
  <c r="N238" i="108" s="1"/>
  <c r="L239" i="108"/>
  <c r="M239" i="108"/>
  <c r="L240" i="108"/>
  <c r="K241" i="108"/>
  <c r="N241" i="108" s="1"/>
  <c r="L241" i="108"/>
  <c r="L243" i="108"/>
  <c r="M243" i="108"/>
  <c r="K244" i="108"/>
  <c r="M244" i="108"/>
  <c r="M245" i="108"/>
  <c r="K245" i="108"/>
  <c r="L248" i="108"/>
  <c r="K249" i="108"/>
  <c r="L249" i="108"/>
  <c r="M250" i="108"/>
  <c r="L251" i="108"/>
  <c r="K252" i="108"/>
  <c r="L252" i="108"/>
  <c r="M253" i="108"/>
  <c r="K253" i="108"/>
  <c r="L254" i="108"/>
  <c r="M256" i="108"/>
  <c r="L258" i="108"/>
  <c r="M258" i="108"/>
  <c r="K258" i="108"/>
  <c r="L259" i="108"/>
  <c r="M259" i="108"/>
  <c r="G260" i="108"/>
  <c r="N260" i="108" s="1"/>
  <c r="K260" i="108"/>
  <c r="M260" i="108"/>
  <c r="L261" i="108"/>
  <c r="K262" i="108"/>
  <c r="L263" i="108"/>
  <c r="M263" i="108"/>
  <c r="K264" i="108"/>
  <c r="L264" i="108"/>
  <c r="N264" i="108" s="1"/>
  <c r="K265" i="108"/>
  <c r="L265" i="108"/>
  <c r="K266" i="108"/>
  <c r="K267" i="108"/>
  <c r="K268" i="108"/>
  <c r="L268" i="108"/>
  <c r="M268" i="108"/>
  <c r="L269" i="108"/>
  <c r="N269" i="108" s="1"/>
  <c r="K270" i="108"/>
  <c r="L271" i="108"/>
  <c r="L273" i="108"/>
  <c r="L274" i="108"/>
  <c r="M274" i="108"/>
  <c r="M275" i="108"/>
  <c r="M276" i="108"/>
  <c r="L276" i="108"/>
  <c r="M277" i="108"/>
  <c r="M278" i="108"/>
  <c r="L278" i="108"/>
  <c r="L279" i="108"/>
  <c r="M279" i="108"/>
  <c r="L280" i="108"/>
  <c r="K281" i="108"/>
  <c r="M281" i="108"/>
  <c r="L282" i="108"/>
  <c r="L283" i="108"/>
  <c r="L285" i="108"/>
  <c r="K286" i="108"/>
  <c r="L289" i="108"/>
  <c r="K290" i="108"/>
  <c r="L290" i="108"/>
  <c r="K291" i="108"/>
  <c r="L291" i="108"/>
  <c r="L292" i="108"/>
  <c r="M292" i="108"/>
  <c r="L293" i="108"/>
  <c r="L294" i="108"/>
  <c r="K295" i="108"/>
  <c r="L295" i="108"/>
  <c r="M295" i="108"/>
  <c r="K296" i="108"/>
  <c r="M296" i="108"/>
  <c r="L297" i="108"/>
  <c r="M297" i="108"/>
  <c r="K298" i="108"/>
  <c r="L299" i="108"/>
  <c r="M299" i="108"/>
  <c r="K300" i="108"/>
  <c r="L300" i="108"/>
  <c r="M300" i="108"/>
  <c r="K301" i="108"/>
  <c r="M301" i="108"/>
  <c r="L302" i="108"/>
  <c r="M302" i="108"/>
  <c r="K302" i="108"/>
  <c r="K303" i="108"/>
  <c r="M303" i="108"/>
  <c r="K304" i="108"/>
  <c r="M304" i="108"/>
  <c r="K305" i="108"/>
  <c r="L305" i="108"/>
  <c r="M305" i="108"/>
  <c r="M306" i="108"/>
  <c r="K309" i="108"/>
  <c r="L309" i="108"/>
  <c r="M309" i="108"/>
  <c r="K310" i="108"/>
  <c r="L310" i="108"/>
  <c r="M310" i="108"/>
  <c r="L311" i="108"/>
  <c r="M311" i="108"/>
  <c r="K311" i="108"/>
  <c r="K312" i="108"/>
  <c r="M312" i="108"/>
  <c r="L314" i="108"/>
  <c r="L315" i="108"/>
  <c r="N315" i="108" s="1"/>
  <c r="K316" i="108"/>
  <c r="M316" i="108"/>
  <c r="M317" i="108"/>
  <c r="K318" i="108"/>
  <c r="M318" i="108"/>
  <c r="K319" i="108"/>
  <c r="L319" i="108"/>
  <c r="M319" i="108"/>
  <c r="M320" i="108"/>
  <c r="L321" i="108"/>
  <c r="L323" i="108"/>
  <c r="K323" i="108"/>
  <c r="M323" i="108"/>
  <c r="K325" i="108"/>
  <c r="M325" i="108"/>
  <c r="K328" i="108"/>
  <c r="M329" i="108"/>
  <c r="M330" i="108"/>
  <c r="L331" i="108"/>
  <c r="M332" i="108"/>
  <c r="L332" i="108"/>
  <c r="G333" i="108"/>
  <c r="K333" i="108"/>
  <c r="L333" i="108"/>
  <c r="M333" i="108"/>
  <c r="K334" i="108"/>
  <c r="L335" i="108"/>
  <c r="K336" i="108"/>
  <c r="M336" i="108"/>
  <c r="K337" i="108"/>
  <c r="L337" i="108"/>
  <c r="M338" i="108"/>
  <c r="L339" i="108"/>
  <c r="K341" i="108"/>
  <c r="M341" i="108"/>
  <c r="K342" i="108"/>
  <c r="L342" i="108"/>
  <c r="K343" i="108"/>
  <c r="L343" i="108"/>
  <c r="L344" i="108"/>
  <c r="M344" i="108"/>
  <c r="L345" i="108"/>
  <c r="M345" i="108"/>
  <c r="K346" i="108"/>
  <c r="L346" i="108"/>
  <c r="M346" i="108"/>
  <c r="L348" i="108"/>
  <c r="K349" i="108"/>
  <c r="M349" i="108"/>
  <c r="M352" i="108"/>
  <c r="K352" i="108"/>
  <c r="K353" i="108"/>
  <c r="M353" i="108"/>
  <c r="M354" i="108"/>
  <c r="L354" i="108"/>
  <c r="K356" i="108"/>
  <c r="L356" i="108"/>
  <c r="M356" i="108"/>
  <c r="K357" i="108"/>
  <c r="L357" i="108"/>
  <c r="L358" i="108"/>
  <c r="K361" i="108"/>
  <c r="L362" i="108"/>
  <c r="K363" i="108"/>
  <c r="L363" i="108"/>
  <c r="M363" i="108"/>
  <c r="L364" i="108"/>
  <c r="M364" i="108"/>
  <c r="K364" i="108"/>
  <c r="L365" i="108"/>
  <c r="K366" i="108"/>
  <c r="L366" i="108"/>
  <c r="K368" i="108"/>
  <c r="M368" i="108"/>
  <c r="L369" i="108"/>
  <c r="L370" i="108"/>
  <c r="L371" i="108"/>
  <c r="K375" i="108"/>
  <c r="L375" i="108"/>
  <c r="L376" i="108"/>
  <c r="M376" i="108"/>
  <c r="M377" i="108"/>
  <c r="M379" i="108"/>
  <c r="L381" i="108"/>
  <c r="K382" i="108"/>
  <c r="M382" i="108"/>
  <c r="K383" i="108"/>
  <c r="M383" i="108"/>
  <c r="M384" i="108"/>
  <c r="L386" i="108"/>
  <c r="K387" i="108"/>
  <c r="L387" i="108"/>
  <c r="M387" i="108"/>
  <c r="K389" i="108"/>
  <c r="K390" i="108"/>
  <c r="G390" i="108"/>
  <c r="K391" i="108"/>
  <c r="M391" i="108"/>
  <c r="G392" i="108"/>
  <c r="M392" i="108"/>
  <c r="N392" i="108" s="1"/>
  <c r="L392" i="108"/>
  <c r="L393" i="108"/>
  <c r="K395" i="108"/>
  <c r="L395" i="108"/>
  <c r="M395" i="108"/>
  <c r="K396" i="108"/>
  <c r="M396" i="108"/>
  <c r="K397" i="108"/>
  <c r="M397" i="108"/>
  <c r="L397" i="108"/>
  <c r="K398" i="108"/>
  <c r="M398" i="108"/>
  <c r="L398" i="108"/>
  <c r="K399" i="108"/>
  <c r="L399" i="108"/>
  <c r="M399" i="108"/>
  <c r="K400" i="108"/>
  <c r="M400" i="108"/>
  <c r="L401" i="108"/>
  <c r="M401" i="108"/>
  <c r="M402" i="108"/>
  <c r="K402" i="108"/>
  <c r="L403" i="108"/>
  <c r="L404" i="108"/>
  <c r="L406" i="108"/>
  <c r="L407" i="108"/>
  <c r="L408" i="108"/>
  <c r="L410" i="108"/>
  <c r="L411" i="108"/>
  <c r="L416" i="108"/>
  <c r="L417" i="108"/>
  <c r="L419" i="108"/>
  <c r="L421" i="108"/>
  <c r="K422" i="108"/>
  <c r="M422" i="108"/>
  <c r="K423" i="108"/>
  <c r="M423" i="108"/>
  <c r="K424" i="108"/>
  <c r="M424" i="108"/>
  <c r="L425" i="108"/>
  <c r="M425" i="108"/>
  <c r="K425" i="108"/>
  <c r="K426" i="108"/>
  <c r="M426" i="108"/>
  <c r="K427" i="108"/>
  <c r="M427" i="108"/>
  <c r="M428" i="108"/>
  <c r="K428" i="108"/>
  <c r="K429" i="108"/>
  <c r="M429" i="108"/>
  <c r="L430" i="108"/>
  <c r="M430" i="108"/>
  <c r="M431" i="108"/>
  <c r="K431" i="108"/>
  <c r="M432" i="108"/>
  <c r="K432" i="108"/>
  <c r="M433" i="108"/>
  <c r="M434" i="108"/>
  <c r="K434" i="108"/>
  <c r="M435" i="108"/>
  <c r="K436" i="108"/>
  <c r="M436" i="108"/>
  <c r="L437" i="108"/>
  <c r="M437" i="108"/>
  <c r="K438" i="108"/>
  <c r="K439" i="108"/>
  <c r="L439" i="108"/>
  <c r="M439" i="108"/>
  <c r="M440" i="108"/>
  <c r="K441" i="108"/>
  <c r="L441" i="108"/>
  <c r="L442" i="108"/>
  <c r="M442" i="108"/>
  <c r="K443" i="108"/>
  <c r="L445" i="108"/>
  <c r="K446" i="108"/>
  <c r="N446" i="108" s="1"/>
  <c r="L446" i="108"/>
  <c r="L447" i="108"/>
  <c r="K448" i="108"/>
  <c r="K449" i="108"/>
  <c r="L449" i="108"/>
  <c r="K450" i="108"/>
  <c r="M451" i="108"/>
  <c r="K451" i="108"/>
  <c r="L452" i="108"/>
  <c r="L453" i="108"/>
  <c r="M453" i="108"/>
  <c r="L454" i="108"/>
  <c r="L455" i="108"/>
  <c r="M455" i="108"/>
  <c r="K456" i="108"/>
  <c r="K457" i="108"/>
  <c r="L457" i="108"/>
  <c r="L458" i="108"/>
  <c r="L459" i="108"/>
  <c r="L460" i="108"/>
  <c r="K461" i="108"/>
  <c r="L461" i="108"/>
  <c r="L462" i="108"/>
  <c r="L463" i="108"/>
  <c r="M463" i="108"/>
  <c r="K463" i="108"/>
  <c r="L464" i="108"/>
  <c r="M465" i="108"/>
  <c r="K465" i="108"/>
  <c r="L465" i="108"/>
  <c r="L466" i="108"/>
  <c r="K466" i="108"/>
  <c r="K467" i="108"/>
  <c r="L467" i="108"/>
  <c r="L468" i="108"/>
  <c r="L469" i="108"/>
  <c r="K469" i="108"/>
  <c r="M469" i="108"/>
  <c r="L470" i="108"/>
  <c r="M470" i="108"/>
  <c r="L471" i="108"/>
  <c r="M471" i="108"/>
  <c r="L472" i="108"/>
  <c r="K472" i="108"/>
  <c r="K473" i="108"/>
  <c r="L473" i="108"/>
  <c r="K474" i="108"/>
  <c r="M474" i="108"/>
  <c r="L474" i="108"/>
  <c r="K475" i="108"/>
  <c r="M475" i="108"/>
  <c r="L475" i="108"/>
  <c r="K476" i="108"/>
  <c r="L477" i="108"/>
  <c r="K477" i="108"/>
  <c r="L478" i="108"/>
  <c r="M478" i="108"/>
  <c r="L480" i="108"/>
  <c r="K480" i="108"/>
  <c r="M480" i="108"/>
  <c r="K481" i="108"/>
  <c r="L481" i="108"/>
  <c r="L482" i="108"/>
  <c r="M482" i="108"/>
  <c r="K482" i="108"/>
  <c r="L484" i="108"/>
  <c r="K484" i="108"/>
  <c r="M485" i="108"/>
  <c r="L485" i="108"/>
  <c r="K486" i="108"/>
  <c r="L487" i="108"/>
  <c r="L489" i="108"/>
  <c r="M489" i="108"/>
  <c r="K490" i="108"/>
  <c r="M490" i="108"/>
  <c r="L490" i="108"/>
  <c r="L491" i="108"/>
  <c r="L492" i="108"/>
  <c r="M492" i="108"/>
  <c r="L494" i="108"/>
  <c r="M494" i="108"/>
  <c r="M495" i="108"/>
  <c r="L496" i="108"/>
  <c r="K496" i="108"/>
  <c r="M496" i="108"/>
  <c r="L497" i="108"/>
  <c r="K497" i="108"/>
  <c r="M497" i="108"/>
  <c r="K498" i="108"/>
  <c r="M498" i="108"/>
  <c r="M499" i="108"/>
  <c r="M500" i="108"/>
  <c r="K500" i="108"/>
  <c r="L500" i="108"/>
  <c r="L501" i="108"/>
  <c r="M501" i="108"/>
  <c r="M502" i="108"/>
  <c r="M503" i="108"/>
  <c r="L504" i="108"/>
  <c r="L505" i="108"/>
  <c r="M505" i="108"/>
  <c r="K505" i="108"/>
  <c r="L506" i="108"/>
  <c r="L507" i="108"/>
  <c r="M507" i="108"/>
  <c r="K507" i="108"/>
  <c r="K508" i="108"/>
  <c r="L508" i="108"/>
  <c r="M508" i="108"/>
  <c r="L509" i="108"/>
  <c r="L510" i="108"/>
  <c r="L511" i="108"/>
  <c r="G512" i="108"/>
  <c r="K512" i="108"/>
  <c r="L512" i="108"/>
  <c r="M512" i="108"/>
  <c r="L513" i="108"/>
  <c r="M513" i="108"/>
  <c r="K514" i="108"/>
  <c r="M515" i="108"/>
  <c r="K515" i="108"/>
  <c r="K516" i="108"/>
  <c r="L516" i="108"/>
  <c r="K517" i="108"/>
  <c r="M517" i="108"/>
  <c r="K518" i="108"/>
  <c r="M518" i="108"/>
  <c r="M519" i="108"/>
  <c r="L519" i="108"/>
  <c r="K520" i="108"/>
  <c r="L520" i="108"/>
  <c r="K521" i="108"/>
  <c r="M521" i="108"/>
  <c r="K522" i="108"/>
  <c r="M522" i="108"/>
  <c r="M523" i="108"/>
  <c r="L523" i="108"/>
  <c r="K524" i="108"/>
  <c r="L524" i="108"/>
  <c r="M525" i="108"/>
  <c r="K525" i="108"/>
  <c r="K526" i="108"/>
  <c r="M526" i="108"/>
  <c r="M527" i="108"/>
  <c r="L527" i="108"/>
  <c r="L528" i="108"/>
  <c r="M529" i="108"/>
  <c r="K530" i="108"/>
  <c r="L530" i="108"/>
  <c r="M531" i="108"/>
  <c r="L532" i="108"/>
  <c r="M533" i="108"/>
  <c r="K534" i="108"/>
  <c r="L534" i="108"/>
  <c r="L535" i="108"/>
  <c r="M535" i="108"/>
  <c r="K536" i="108"/>
  <c r="L537" i="108"/>
  <c r="M537" i="108"/>
  <c r="K538" i="108"/>
  <c r="L538" i="108"/>
  <c r="L539" i="108"/>
  <c r="M539" i="108"/>
  <c r="K540" i="108"/>
  <c r="L541" i="108"/>
  <c r="M541" i="108"/>
  <c r="K542" i="108"/>
  <c r="L542" i="108"/>
  <c r="L543" i="108"/>
  <c r="M543" i="108"/>
  <c r="K544" i="108"/>
  <c r="L545" i="108"/>
  <c r="M545" i="108"/>
  <c r="K546" i="108"/>
  <c r="L546" i="108"/>
  <c r="M547" i="108"/>
  <c r="K548" i="108"/>
  <c r="L548" i="108"/>
  <c r="L549" i="108"/>
  <c r="M549" i="108"/>
  <c r="K550" i="108"/>
  <c r="L550" i="108"/>
  <c r="M551" i="108"/>
  <c r="K552" i="108"/>
  <c r="L552" i="108"/>
  <c r="L553" i="108"/>
  <c r="M553" i="108"/>
  <c r="K554" i="108"/>
  <c r="L554" i="108"/>
  <c r="L555" i="108"/>
  <c r="M555" i="108"/>
  <c r="K556" i="108"/>
  <c r="L556" i="108"/>
  <c r="L557" i="108"/>
  <c r="M557" i="108"/>
  <c r="L558" i="108"/>
  <c r="K558" i="108"/>
  <c r="L559" i="108"/>
  <c r="M559" i="108"/>
  <c r="L560" i="108"/>
  <c r="K560" i="108"/>
  <c r="L561" i="108"/>
  <c r="M561" i="108"/>
  <c r="L562" i="108"/>
  <c r="K562" i="108"/>
  <c r="M563" i="108"/>
  <c r="L563" i="108"/>
  <c r="K564" i="108"/>
  <c r="L564" i="108"/>
  <c r="M565" i="108"/>
  <c r="L565" i="108"/>
  <c r="K566" i="108"/>
  <c r="L566" i="108"/>
  <c r="L567" i="108"/>
  <c r="M567" i="108"/>
  <c r="K568" i="108"/>
  <c r="L568" i="108"/>
  <c r="L569" i="108"/>
  <c r="M569" i="108"/>
  <c r="K570" i="108"/>
  <c r="L570" i="108"/>
  <c r="M571" i="108"/>
  <c r="L571" i="108"/>
  <c r="K572" i="108"/>
  <c r="L572" i="108"/>
  <c r="L573" i="108"/>
  <c r="M573" i="108"/>
  <c r="K574" i="108"/>
  <c r="L574" i="108"/>
  <c r="L575" i="108"/>
  <c r="M575" i="108"/>
  <c r="K576" i="108"/>
  <c r="L576" i="108"/>
  <c r="L577" i="108"/>
  <c r="M577" i="108"/>
  <c r="K578" i="108"/>
  <c r="K579" i="108"/>
  <c r="L579" i="108"/>
  <c r="M580" i="108"/>
  <c r="K581" i="108"/>
  <c r="L581" i="108"/>
  <c r="L582" i="108"/>
  <c r="M582" i="108"/>
  <c r="K583" i="108"/>
  <c r="L583" i="108"/>
  <c r="M584" i="108"/>
  <c r="K585" i="108"/>
  <c r="L585" i="108"/>
  <c r="L586" i="108"/>
  <c r="M586" i="108"/>
  <c r="K587" i="108"/>
  <c r="K588" i="108"/>
  <c r="L588" i="108"/>
  <c r="M589" i="108"/>
  <c r="L589" i="108"/>
  <c r="K590" i="108"/>
  <c r="M591" i="108"/>
  <c r="L591" i="108"/>
  <c r="K592" i="108"/>
  <c r="L592" i="108"/>
  <c r="M593" i="108"/>
  <c r="L593" i="108"/>
  <c r="L594" i="108"/>
  <c r="L595" i="108"/>
  <c r="L596" i="108"/>
  <c r="L597" i="108"/>
  <c r="L598" i="108"/>
  <c r="L599" i="108"/>
  <c r="L600" i="108"/>
  <c r="L601" i="108"/>
  <c r="L602" i="108"/>
  <c r="L603" i="108"/>
  <c r="L604" i="108"/>
  <c r="L605" i="108"/>
  <c r="L607" i="108"/>
  <c r="L608" i="108"/>
  <c r="N608" i="108" s="1"/>
  <c r="L609" i="108"/>
  <c r="M609" i="108"/>
  <c r="K610" i="108"/>
  <c r="L610" i="108"/>
  <c r="M611" i="108"/>
  <c r="L611" i="108"/>
  <c r="K612" i="108"/>
  <c r="L612" i="108"/>
  <c r="N612" i="108" s="1"/>
  <c r="L613" i="108"/>
  <c r="M613" i="108"/>
  <c r="K614" i="108"/>
  <c r="L614" i="108"/>
  <c r="L615" i="108"/>
  <c r="M615" i="108"/>
  <c r="K616" i="108"/>
  <c r="L616" i="108"/>
  <c r="L617" i="108"/>
  <c r="M617" i="108"/>
  <c r="L618" i="108"/>
  <c r="K618" i="108"/>
  <c r="L619" i="108"/>
  <c r="M619" i="108"/>
  <c r="K620" i="108"/>
  <c r="L620" i="108"/>
  <c r="L621" i="108"/>
  <c r="M621" i="108"/>
  <c r="K622" i="108"/>
  <c r="L622" i="108"/>
  <c r="L623" i="108"/>
  <c r="M623" i="108"/>
  <c r="K624" i="108"/>
  <c r="L624" i="108"/>
  <c r="N624" i="108" s="1"/>
  <c r="M625" i="108"/>
  <c r="L627" i="108"/>
  <c r="L628" i="108"/>
  <c r="M628" i="108"/>
  <c r="K629" i="108"/>
  <c r="L630" i="108"/>
  <c r="L632" i="108"/>
  <c r="L633" i="108"/>
  <c r="L634" i="108"/>
  <c r="L635" i="108"/>
  <c r="L636" i="108"/>
  <c r="L637" i="108"/>
  <c r="L639" i="108"/>
  <c r="M639" i="108"/>
  <c r="K640" i="108"/>
  <c r="L640" i="108"/>
  <c r="L641" i="108"/>
  <c r="M641" i="108"/>
  <c r="K642" i="108"/>
  <c r="L642" i="108"/>
  <c r="L643" i="108"/>
  <c r="M643" i="108"/>
  <c r="K644" i="108"/>
  <c r="L644" i="108"/>
  <c r="L645" i="108"/>
  <c r="M645" i="108"/>
  <c r="K646" i="108"/>
  <c r="L646" i="108"/>
  <c r="L647" i="108"/>
  <c r="M647" i="108"/>
  <c r="K648" i="108"/>
  <c r="L648" i="108"/>
  <c r="L649" i="108"/>
  <c r="M649" i="108"/>
  <c r="K650" i="108"/>
  <c r="L650" i="108"/>
  <c r="N650" i="108" s="1"/>
  <c r="L651" i="108"/>
  <c r="M651" i="108"/>
  <c r="K652" i="108"/>
  <c r="L652" i="108"/>
  <c r="L653" i="108"/>
  <c r="M653" i="108"/>
  <c r="K654" i="108"/>
  <c r="L654" i="108"/>
  <c r="L655" i="108"/>
  <c r="M655" i="108"/>
  <c r="K656" i="108"/>
  <c r="L656" i="108"/>
  <c r="L657" i="108"/>
  <c r="M657" i="108"/>
  <c r="K658" i="108"/>
  <c r="L658" i="108"/>
  <c r="L659" i="108"/>
  <c r="M659" i="108"/>
  <c r="L660" i="108"/>
  <c r="K660" i="108"/>
  <c r="L661" i="108"/>
  <c r="M661" i="108"/>
  <c r="K662" i="108"/>
  <c r="L662" i="108"/>
  <c r="L663" i="108"/>
  <c r="M663" i="108"/>
  <c r="K664" i="108"/>
  <c r="L664" i="108"/>
  <c r="L665" i="108"/>
  <c r="M665" i="108"/>
  <c r="K666" i="108"/>
  <c r="L666" i="108"/>
  <c r="M667" i="108"/>
  <c r="L668" i="108"/>
  <c r="L669" i="108"/>
  <c r="L670" i="108"/>
  <c r="L672" i="108"/>
  <c r="L673" i="108"/>
  <c r="L674" i="108"/>
  <c r="M681" i="108"/>
  <c r="K681" i="108"/>
  <c r="K682" i="108"/>
  <c r="M684" i="108"/>
  <c r="K685" i="108"/>
  <c r="M685" i="108"/>
  <c r="M686" i="108"/>
  <c r="K687" i="108"/>
  <c r="M687" i="108"/>
  <c r="M688" i="108"/>
  <c r="K690" i="108"/>
  <c r="M691" i="108"/>
  <c r="M694" i="108"/>
  <c r="L696" i="108"/>
  <c r="M698" i="108"/>
  <c r="L699" i="108"/>
  <c r="M699" i="108"/>
  <c r="M700" i="108"/>
  <c r="K700" i="108"/>
  <c r="M701" i="108"/>
  <c r="L702" i="108"/>
  <c r="N702" i="108" s="1"/>
  <c r="M702" i="108"/>
  <c r="G703" i="108"/>
  <c r="K703" i="108"/>
  <c r="L703" i="108"/>
  <c r="M703" i="108"/>
  <c r="K704" i="108"/>
  <c r="K705" i="108"/>
  <c r="L706" i="108"/>
  <c r="L707" i="108"/>
  <c r="K707" i="108"/>
  <c r="K708" i="108"/>
  <c r="M708" i="108"/>
  <c r="M709" i="108"/>
  <c r="K709" i="108"/>
  <c r="L710" i="108"/>
  <c r="K711" i="108"/>
  <c r="L711" i="108"/>
  <c r="L712" i="108"/>
  <c r="K713" i="108"/>
  <c r="L714" i="108"/>
  <c r="M714" i="108"/>
  <c r="M716" i="108"/>
  <c r="K717" i="108"/>
  <c r="L718" i="108"/>
  <c r="M718" i="108"/>
  <c r="L719" i="108"/>
  <c r="L720" i="108"/>
  <c r="K720" i="108"/>
  <c r="L721" i="108"/>
  <c r="M721" i="108"/>
  <c r="L722" i="108"/>
  <c r="L723" i="108"/>
  <c r="N723" i="108" s="1"/>
  <c r="M723" i="108"/>
  <c r="L724" i="108"/>
  <c r="M724" i="108"/>
  <c r="L725" i="108"/>
  <c r="G726" i="108"/>
  <c r="K726" i="108"/>
  <c r="L726" i="108"/>
  <c r="M726" i="108"/>
  <c r="M727" i="108"/>
  <c r="L727" i="108"/>
  <c r="L728" i="108"/>
  <c r="K728" i="108"/>
  <c r="L729" i="108"/>
  <c r="L730" i="108"/>
  <c r="M730" i="108"/>
  <c r="K730" i="108"/>
  <c r="L731" i="108"/>
  <c r="K732" i="108"/>
  <c r="L732" i="108"/>
  <c r="M732" i="108"/>
  <c r="L733" i="108"/>
  <c r="M734" i="108"/>
  <c r="L735" i="108"/>
  <c r="M735" i="108"/>
  <c r="N735" i="108" s="1"/>
  <c r="L736" i="108"/>
  <c r="M736" i="108"/>
  <c r="M737" i="108"/>
  <c r="G738" i="108"/>
  <c r="K738" i="108"/>
  <c r="L738" i="108"/>
  <c r="M738" i="108"/>
  <c r="L740" i="108"/>
  <c r="L741" i="108"/>
  <c r="M741" i="108"/>
  <c r="L742" i="108"/>
  <c r="L744" i="108"/>
  <c r="M745" i="108"/>
  <c r="K746" i="108"/>
  <c r="M746" i="108"/>
  <c r="K747" i="108"/>
  <c r="M747" i="108"/>
  <c r="K748" i="108"/>
  <c r="K749" i="108"/>
  <c r="L749" i="108"/>
  <c r="M750" i="108"/>
  <c r="K751" i="108"/>
  <c r="L752" i="108"/>
  <c r="M753" i="108"/>
  <c r="L755" i="108"/>
  <c r="M755" i="108"/>
  <c r="M756" i="108"/>
  <c r="K756" i="108"/>
  <c r="L756" i="108"/>
  <c r="K757" i="108"/>
  <c r="L758" i="108"/>
  <c r="M758" i="108"/>
  <c r="K759" i="108"/>
  <c r="L759" i="108"/>
  <c r="M760" i="108"/>
  <c r="L760" i="108"/>
  <c r="L761" i="108"/>
  <c r="K761" i="108"/>
  <c r="L762" i="108"/>
  <c r="M762" i="108"/>
  <c r="K763" i="108"/>
  <c r="K764" i="108"/>
  <c r="M765" i="108"/>
  <c r="K766" i="108"/>
  <c r="M767" i="108"/>
  <c r="K768" i="108"/>
  <c r="M769" i="108"/>
  <c r="K770" i="108"/>
  <c r="L770" i="108"/>
  <c r="M771" i="108"/>
  <c r="K772" i="108"/>
  <c r="L772" i="108"/>
  <c r="M773" i="108"/>
  <c r="K774" i="108"/>
  <c r="M775" i="108"/>
  <c r="K776" i="108"/>
  <c r="M777" i="108"/>
  <c r="K778" i="108"/>
  <c r="M779" i="108"/>
  <c r="K780" i="108"/>
  <c r="N780" i="108" s="1"/>
  <c r="M781" i="108"/>
  <c r="K782" i="108"/>
  <c r="M783" i="108"/>
  <c r="L783" i="108"/>
  <c r="K784" i="108"/>
  <c r="L784" i="108"/>
  <c r="M785" i="108"/>
  <c r="L785" i="108"/>
  <c r="K786" i="108"/>
  <c r="M787" i="108"/>
  <c r="L788" i="108"/>
  <c r="K788" i="108"/>
  <c r="M790" i="108"/>
  <c r="L793" i="108"/>
  <c r="M793" i="108"/>
  <c r="K794" i="108"/>
  <c r="L794" i="108"/>
  <c r="M795" i="108"/>
  <c r="L795" i="108"/>
  <c r="K796" i="108"/>
  <c r="M797" i="108"/>
  <c r="K798" i="108"/>
  <c r="L799" i="108"/>
  <c r="M799" i="108"/>
  <c r="L800" i="108"/>
  <c r="K800" i="108"/>
  <c r="M802" i="108"/>
  <c r="M803" i="108"/>
  <c r="M804" i="108"/>
  <c r="K804" i="108"/>
  <c r="M805" i="108"/>
  <c r="K805" i="108"/>
  <c r="L805" i="108"/>
  <c r="L806" i="108"/>
  <c r="M807" i="108"/>
  <c r="L808" i="108"/>
  <c r="M808" i="108"/>
  <c r="K810" i="108"/>
  <c r="L810" i="108"/>
  <c r="M811" i="108"/>
  <c r="K812" i="108"/>
  <c r="L812" i="108"/>
  <c r="M812" i="108"/>
  <c r="L813" i="108"/>
  <c r="M813" i="108"/>
  <c r="K814" i="108"/>
  <c r="M814" i="108"/>
  <c r="L815" i="108"/>
  <c r="M815" i="108"/>
  <c r="K816" i="108"/>
  <c r="L816" i="108"/>
  <c r="M816" i="108"/>
  <c r="L817" i="108"/>
  <c r="M817" i="108"/>
  <c r="K818" i="108"/>
  <c r="L818" i="108"/>
  <c r="M818" i="108"/>
  <c r="K819" i="108"/>
  <c r="L819" i="108"/>
  <c r="M819" i="108"/>
  <c r="K820" i="108"/>
  <c r="M820" i="108"/>
  <c r="L820" i="108"/>
  <c r="L821" i="108"/>
  <c r="M821" i="108"/>
  <c r="K822" i="108"/>
  <c r="L822" i="108"/>
  <c r="M822" i="108"/>
  <c r="L823" i="108"/>
  <c r="M823" i="108"/>
  <c r="K824" i="108"/>
  <c r="M824" i="108"/>
  <c r="K825" i="108"/>
  <c r="L825" i="108"/>
  <c r="M825" i="108"/>
  <c r="K826" i="108"/>
  <c r="L826" i="108"/>
  <c r="M826" i="108"/>
  <c r="K827" i="108"/>
  <c r="L827" i="108"/>
  <c r="M827" i="108"/>
  <c r="K828" i="108"/>
  <c r="L828" i="108"/>
  <c r="M828" i="108"/>
  <c r="L829" i="108"/>
  <c r="M829" i="108"/>
  <c r="K830" i="108"/>
  <c r="M830" i="108"/>
  <c r="N830" i="108" s="1"/>
  <c r="M831" i="108"/>
  <c r="L831" i="108"/>
  <c r="L832" i="108"/>
  <c r="M832" i="108"/>
  <c r="N832" i="108" s="1"/>
  <c r="L833" i="108"/>
  <c r="M833" i="108"/>
  <c r="G834" i="108"/>
  <c r="L834" i="108"/>
  <c r="M834" i="108"/>
  <c r="K835" i="108"/>
  <c r="L835" i="108"/>
  <c r="M835" i="108"/>
  <c r="L836" i="108"/>
  <c r="M836" i="108"/>
  <c r="K836" i="108"/>
  <c r="L837" i="108"/>
  <c r="N837" i="108" s="1"/>
  <c r="M837" i="108"/>
  <c r="K838" i="108"/>
  <c r="M838" i="108"/>
  <c r="L839" i="108"/>
  <c r="M839" i="108"/>
  <c r="K840" i="108"/>
  <c r="M840" i="108"/>
  <c r="K841" i="108"/>
  <c r="L841" i="108"/>
  <c r="M841" i="108"/>
  <c r="K842" i="108"/>
  <c r="L842" i="108"/>
  <c r="M842" i="108"/>
  <c r="L843" i="108"/>
  <c r="M843" i="108"/>
  <c r="K844" i="108"/>
  <c r="M844" i="108"/>
  <c r="K846" i="108"/>
  <c r="L846" i="108"/>
  <c r="M846" i="108"/>
  <c r="M847" i="108"/>
  <c r="L847" i="108"/>
  <c r="L848" i="108"/>
  <c r="K851" i="108"/>
  <c r="L851" i="108"/>
  <c r="M851" i="108"/>
  <c r="K852" i="108"/>
  <c r="L852" i="108"/>
  <c r="M852" i="108"/>
  <c r="L853" i="108"/>
  <c r="M853" i="108"/>
  <c r="M854" i="108"/>
  <c r="K854" i="108"/>
  <c r="L856" i="108"/>
  <c r="M856" i="108"/>
  <c r="K857" i="108"/>
  <c r="L857" i="108"/>
  <c r="M857" i="108"/>
  <c r="K859" i="108"/>
  <c r="M859" i="108"/>
  <c r="K675" i="108"/>
  <c r="L675" i="108"/>
  <c r="K676" i="108"/>
  <c r="L676" i="108"/>
  <c r="L677" i="108"/>
  <c r="I10" i="110"/>
  <c r="J10" i="110"/>
  <c r="S10" i="110"/>
  <c r="T10" i="110" s="1"/>
  <c r="L36" i="110"/>
  <c r="M36" i="110"/>
  <c r="M37" i="110"/>
  <c r="S38" i="110"/>
  <c r="T38" i="110" s="1"/>
  <c r="M40" i="110"/>
  <c r="M41" i="110"/>
  <c r="L41" i="110"/>
  <c r="M42" i="110"/>
  <c r="K43" i="110"/>
  <c r="M43" i="110"/>
  <c r="M44" i="110"/>
  <c r="K44" i="110"/>
  <c r="K45" i="110"/>
  <c r="K47" i="110"/>
  <c r="S48" i="110"/>
  <c r="T48" i="110" s="1"/>
  <c r="L48" i="110"/>
  <c r="W48" i="110" s="1"/>
  <c r="M48" i="110"/>
  <c r="K49" i="110"/>
  <c r="S49" i="110"/>
  <c r="T49" i="110" s="1"/>
  <c r="M50" i="110"/>
  <c r="J309" i="110"/>
  <c r="I309" i="110"/>
  <c r="S309" i="110"/>
  <c r="T309" i="110" s="1"/>
  <c r="J310" i="110"/>
  <c r="K310" i="110"/>
  <c r="M310" i="110"/>
  <c r="S310" i="110"/>
  <c r="T310" i="110" s="1"/>
  <c r="I311" i="110"/>
  <c r="J312" i="110"/>
  <c r="K313" i="110"/>
  <c r="I314" i="110"/>
  <c r="J314" i="110"/>
  <c r="M51" i="110"/>
  <c r="M52" i="110"/>
  <c r="K52" i="110"/>
  <c r="S53" i="110"/>
  <c r="T53" i="110" s="1"/>
  <c r="M53" i="110"/>
  <c r="M54" i="110"/>
  <c r="M55" i="110"/>
  <c r="M57" i="110"/>
  <c r="K57" i="110"/>
  <c r="S57" i="110"/>
  <c r="T57" i="110" s="1"/>
  <c r="M58" i="110"/>
  <c r="L58" i="110"/>
  <c r="W58" i="110" s="1"/>
  <c r="S58" i="110"/>
  <c r="T58" i="110" s="1"/>
  <c r="K59" i="110"/>
  <c r="L59" i="110"/>
  <c r="W59" i="110" s="1"/>
  <c r="L60" i="110"/>
  <c r="W60" i="110" s="1"/>
  <c r="S61" i="110"/>
  <c r="T61" i="110" s="1"/>
  <c r="L62" i="110"/>
  <c r="M62" i="110"/>
  <c r="S62" i="110"/>
  <c r="T62" i="110" s="1"/>
  <c r="K63" i="110"/>
  <c r="L64" i="110"/>
  <c r="M65" i="110"/>
  <c r="S66" i="110"/>
  <c r="T66" i="110" s="1"/>
  <c r="K66" i="110"/>
  <c r="M66" i="110"/>
  <c r="S67" i="110"/>
  <c r="T67" i="110" s="1"/>
  <c r="L68" i="110"/>
  <c r="W68" i="110" s="1"/>
  <c r="S69" i="110"/>
  <c r="T69" i="110" s="1"/>
  <c r="K69" i="110"/>
  <c r="M70" i="110"/>
  <c r="L71" i="110"/>
  <c r="K71" i="110"/>
  <c r="K72" i="110"/>
  <c r="K73" i="110"/>
  <c r="L73" i="110"/>
  <c r="M75" i="110"/>
  <c r="S75" i="110"/>
  <c r="T75" i="110" s="1"/>
  <c r="M76" i="110"/>
  <c r="S76" i="110"/>
  <c r="T76" i="110" s="1"/>
  <c r="K77" i="110"/>
  <c r="M77" i="110"/>
  <c r="M78" i="110"/>
  <c r="L79" i="110"/>
  <c r="M79" i="110"/>
  <c r="L80" i="110"/>
  <c r="M81" i="110"/>
  <c r="M82" i="110"/>
  <c r="K83" i="110"/>
  <c r="L83" i="110"/>
  <c r="M83" i="110"/>
  <c r="S84" i="110"/>
  <c r="T84" i="110" s="1"/>
  <c r="L84" i="110"/>
  <c r="K84" i="110"/>
  <c r="H11" i="110"/>
  <c r="I11" i="110"/>
  <c r="W11" i="110" s="1"/>
  <c r="J11" i="110"/>
  <c r="S11" i="110"/>
  <c r="T11" i="110" s="1"/>
  <c r="M85" i="110"/>
  <c r="K86" i="110"/>
  <c r="K87" i="110"/>
  <c r="S87" i="110"/>
  <c r="T87" i="110" s="1"/>
  <c r="K88" i="110"/>
  <c r="G375" i="110"/>
  <c r="S381" i="110"/>
  <c r="T381" i="110" s="1"/>
  <c r="S395" i="110"/>
  <c r="T395" i="110" s="1"/>
  <c r="G421" i="110"/>
  <c r="Q428" i="110"/>
  <c r="S430" i="110"/>
  <c r="T430" i="110" s="1"/>
  <c r="S433" i="110"/>
  <c r="T433" i="110" s="1"/>
  <c r="J12" i="110"/>
  <c r="K317" i="110"/>
  <c r="J318" i="110"/>
  <c r="H318" i="110"/>
  <c r="S318" i="110"/>
  <c r="T318" i="110" s="1"/>
  <c r="J319" i="110"/>
  <c r="I319" i="110"/>
  <c r="M319" i="110"/>
  <c r="H320" i="110"/>
  <c r="L89" i="110"/>
  <c r="H321" i="110"/>
  <c r="S90" i="110"/>
  <c r="T90" i="110" s="1"/>
  <c r="K90" i="110"/>
  <c r="M90" i="110"/>
  <c r="K322" i="110"/>
  <c r="M323" i="110"/>
  <c r="K323" i="110"/>
  <c r="L324" i="110"/>
  <c r="M325" i="110"/>
  <c r="H325" i="110"/>
  <c r="I326" i="110"/>
  <c r="L327" i="110"/>
  <c r="I15" i="110"/>
  <c r="J15" i="110"/>
  <c r="H15" i="110"/>
  <c r="H328" i="110"/>
  <c r="I329" i="110"/>
  <c r="K330" i="110"/>
  <c r="J330" i="110"/>
  <c r="L330" i="110"/>
  <c r="S16" i="110"/>
  <c r="T16" i="110" s="1"/>
  <c r="K331" i="110"/>
  <c r="I332" i="110"/>
  <c r="K332" i="110"/>
  <c r="L332" i="110"/>
  <c r="I18" i="110"/>
  <c r="W18" i="110" s="1"/>
  <c r="Q91" i="110"/>
  <c r="L91" i="110"/>
  <c r="M91" i="110"/>
  <c r="S19" i="110"/>
  <c r="T19" i="110" s="1"/>
  <c r="H19" i="110"/>
  <c r="J19" i="110"/>
  <c r="J333" i="110"/>
  <c r="S334" i="110"/>
  <c r="T334" i="110" s="1"/>
  <c r="K93" i="110"/>
  <c r="M93" i="110"/>
  <c r="S93" i="110"/>
  <c r="T93" i="110" s="1"/>
  <c r="M336" i="110"/>
  <c r="H336" i="110"/>
  <c r="L337" i="110"/>
  <c r="H338" i="110"/>
  <c r="I20" i="110"/>
  <c r="W20" i="110" s="1"/>
  <c r="J20" i="110"/>
  <c r="K340" i="110"/>
  <c r="H21" i="110"/>
  <c r="J21" i="110"/>
  <c r="I341" i="110"/>
  <c r="H341" i="110"/>
  <c r="J341" i="110"/>
  <c r="H342" i="110"/>
  <c r="K343" i="110"/>
  <c r="S22" i="110"/>
  <c r="T22" i="110" s="1"/>
  <c r="I22" i="110"/>
  <c r="W22" i="110" s="1"/>
  <c r="S94" i="110"/>
  <c r="T94" i="110" s="1"/>
  <c r="M94" i="110"/>
  <c r="Q344" i="110"/>
  <c r="I344" i="110"/>
  <c r="K95" i="110"/>
  <c r="L95" i="110"/>
  <c r="M95" i="110"/>
  <c r="H345" i="110"/>
  <c r="K345" i="110"/>
  <c r="I346" i="110"/>
  <c r="M346" i="110"/>
  <c r="L96" i="110"/>
  <c r="L347" i="110"/>
  <c r="H347" i="110"/>
  <c r="H348" i="110"/>
  <c r="H349" i="110"/>
  <c r="J349" i="110"/>
  <c r="K349" i="110"/>
  <c r="Q349" i="110"/>
  <c r="L97" i="110"/>
  <c r="W97" i="110" s="1"/>
  <c r="M97" i="110"/>
  <c r="J23" i="110"/>
  <c r="I24" i="110"/>
  <c r="W24" i="110" s="1"/>
  <c r="I350" i="110"/>
  <c r="M351" i="110"/>
  <c r="S351" i="110"/>
  <c r="T351" i="110" s="1"/>
  <c r="G352" i="110"/>
  <c r="I352" i="110"/>
  <c r="M352" i="110"/>
  <c r="G353" i="110"/>
  <c r="J353" i="110"/>
  <c r="M353" i="110"/>
  <c r="S353" i="110"/>
  <c r="T353" i="110" s="1"/>
  <c r="H354" i="110"/>
  <c r="K354" i="110"/>
  <c r="H355" i="110"/>
  <c r="K356" i="110"/>
  <c r="M356" i="110"/>
  <c r="J357" i="110"/>
  <c r="H357" i="110"/>
  <c r="J25" i="110"/>
  <c r="I25" i="110"/>
  <c r="H26" i="110"/>
  <c r="J26" i="110"/>
  <c r="S27" i="110"/>
  <c r="T27" i="110" s="1"/>
  <c r="J27" i="110"/>
  <c r="H27" i="110"/>
  <c r="J29" i="110"/>
  <c r="S29" i="110"/>
  <c r="T29" i="110" s="1"/>
  <c r="J30" i="110"/>
  <c r="L98" i="110"/>
  <c r="S98" i="110"/>
  <c r="T98" i="110" s="1"/>
  <c r="H358" i="110"/>
  <c r="I358" i="110"/>
  <c r="J358" i="110"/>
  <c r="K358" i="110"/>
  <c r="L358" i="110"/>
  <c r="M358" i="110"/>
  <c r="I31" i="110"/>
  <c r="W31" i="110" s="1"/>
  <c r="H31" i="110"/>
  <c r="K99" i="110"/>
  <c r="S100" i="110"/>
  <c r="T100" i="110" s="1"/>
  <c r="G100" i="110"/>
  <c r="K100" i="110"/>
  <c r="M100" i="110"/>
  <c r="L102" i="110"/>
  <c r="S103" i="110"/>
  <c r="T103" i="110" s="1"/>
  <c r="L103" i="110"/>
  <c r="W103" i="110" s="1"/>
  <c r="M103" i="110"/>
  <c r="S106" i="110"/>
  <c r="T106" i="110" s="1"/>
  <c r="M107" i="110"/>
  <c r="K108" i="110"/>
  <c r="L109" i="110"/>
  <c r="K109" i="110"/>
  <c r="M110" i="110"/>
  <c r="K111" i="110"/>
  <c r="L112" i="110"/>
  <c r="S113" i="110"/>
  <c r="T113" i="110" s="1"/>
  <c r="K114" i="110"/>
  <c r="S115" i="110"/>
  <c r="T115" i="110" s="1"/>
  <c r="K115" i="110"/>
  <c r="L115" i="110"/>
  <c r="W115" i="110" s="1"/>
  <c r="M115" i="110"/>
  <c r="K116" i="110"/>
  <c r="L117" i="110"/>
  <c r="K119" i="110"/>
  <c r="L119" i="110"/>
  <c r="W119" i="110" s="1"/>
  <c r="M119" i="110"/>
  <c r="S119" i="110"/>
  <c r="T119" i="110" s="1"/>
  <c r="G122" i="110"/>
  <c r="L122" i="110"/>
  <c r="M122" i="110"/>
  <c r="M123" i="110"/>
  <c r="K124" i="110"/>
  <c r="K125" i="110"/>
  <c r="M295" i="110"/>
  <c r="K126" i="110"/>
  <c r="L126" i="110"/>
  <c r="S298" i="110"/>
  <c r="T298" i="110" s="1"/>
  <c r="S302" i="110"/>
  <c r="T302" i="110" s="1"/>
  <c r="M127" i="110"/>
  <c r="K127" i="110"/>
  <c r="G304" i="110"/>
  <c r="S128" i="110"/>
  <c r="T128" i="110" s="1"/>
  <c r="S129" i="110"/>
  <c r="T129" i="110" s="1"/>
  <c r="Q129" i="110"/>
  <c r="K130" i="110"/>
  <c r="L130" i="110"/>
  <c r="K132" i="110"/>
  <c r="K133" i="110"/>
  <c r="M133" i="110"/>
  <c r="L134" i="110"/>
  <c r="M134" i="110"/>
  <c r="G135" i="110"/>
  <c r="L135" i="110"/>
  <c r="W135" i="110" s="1"/>
  <c r="M135" i="110"/>
  <c r="S135" i="110"/>
  <c r="T135" i="110" s="1"/>
  <c r="S136" i="110"/>
  <c r="T136" i="110" s="1"/>
  <c r="M136" i="110"/>
  <c r="K137" i="110"/>
  <c r="M137" i="110"/>
  <c r="K138" i="110"/>
  <c r="M139" i="110"/>
  <c r="L140" i="110"/>
  <c r="K141" i="110"/>
  <c r="M141" i="110"/>
  <c r="G142" i="110"/>
  <c r="M142" i="110"/>
  <c r="M143" i="110"/>
  <c r="M144" i="110"/>
  <c r="K144" i="110"/>
  <c r="K145" i="110"/>
  <c r="M147" i="110"/>
  <c r="L148" i="110"/>
  <c r="W148" i="110" s="1"/>
  <c r="S149" i="110"/>
  <c r="T149" i="110" s="1"/>
  <c r="S150" i="110"/>
  <c r="T150" i="110" s="1"/>
  <c r="M150" i="110"/>
  <c r="S151" i="110"/>
  <c r="T151" i="110" s="1"/>
  <c r="K151" i="110"/>
  <c r="Q151" i="110"/>
  <c r="S152" i="110"/>
  <c r="T152" i="110" s="1"/>
  <c r="L152" i="110"/>
  <c r="W152" i="110" s="1"/>
  <c r="M152" i="110"/>
  <c r="L153" i="110"/>
  <c r="Q153" i="110"/>
  <c r="M154" i="110"/>
  <c r="K155" i="110"/>
  <c r="L156" i="110"/>
  <c r="M156" i="110"/>
  <c r="S156" i="110"/>
  <c r="T156" i="110" s="1"/>
  <c r="K157" i="110"/>
  <c r="M157" i="110"/>
  <c r="S157" i="110"/>
  <c r="T157" i="110" s="1"/>
  <c r="K158" i="110"/>
  <c r="M159" i="110"/>
  <c r="Q159" i="110"/>
  <c r="K160" i="110"/>
  <c r="M160" i="110"/>
  <c r="K161" i="110"/>
  <c r="L161" i="110"/>
  <c r="H359" i="110"/>
  <c r="M163" i="110"/>
  <c r="S163" i="110"/>
  <c r="T163" i="110" s="1"/>
  <c r="M164" i="110"/>
  <c r="J360" i="110"/>
  <c r="M167" i="110"/>
  <c r="S167" i="110"/>
  <c r="T167" i="110" s="1"/>
  <c r="K168" i="110"/>
  <c r="L168" i="110"/>
  <c r="W168" i="110" s="1"/>
  <c r="M168" i="110"/>
  <c r="S169" i="110"/>
  <c r="T169" i="110" s="1"/>
  <c r="K169" i="110"/>
  <c r="Q169" i="110"/>
  <c r="K170" i="110"/>
  <c r="L170" i="110"/>
  <c r="L171" i="110"/>
  <c r="K171" i="110"/>
  <c r="K172" i="110"/>
  <c r="L172" i="110"/>
  <c r="W172" i="110" s="1"/>
  <c r="K173" i="110"/>
  <c r="L174" i="110"/>
  <c r="W174" i="110" s="1"/>
  <c r="K174" i="110"/>
  <c r="M176" i="110"/>
  <c r="L176" i="110"/>
  <c r="S176" i="110"/>
  <c r="T176" i="110" s="1"/>
  <c r="L177" i="110"/>
  <c r="M177" i="110"/>
  <c r="Q177" i="110"/>
  <c r="L178" i="110"/>
  <c r="M178" i="110"/>
  <c r="M179" i="110"/>
  <c r="L179" i="110"/>
  <c r="S179" i="110"/>
  <c r="T179" i="110" s="1"/>
  <c r="L181" i="110"/>
  <c r="L182" i="110"/>
  <c r="M182" i="110"/>
  <c r="K182" i="110"/>
  <c r="L183" i="110"/>
  <c r="M183" i="110"/>
  <c r="L184" i="110"/>
  <c r="M184" i="110"/>
  <c r="M185" i="110"/>
  <c r="L185" i="110"/>
  <c r="M186" i="110"/>
  <c r="K186" i="110"/>
  <c r="K187" i="110"/>
  <c r="L187" i="110"/>
  <c r="J361" i="110"/>
  <c r="K188" i="110"/>
  <c r="L188" i="110"/>
  <c r="S188" i="110"/>
  <c r="T188" i="110" s="1"/>
  <c r="S189" i="110"/>
  <c r="T189" i="110" s="1"/>
  <c r="K189" i="110"/>
  <c r="K190" i="110"/>
  <c r="M190" i="110"/>
  <c r="M191" i="110"/>
  <c r="L191" i="110"/>
  <c r="W191" i="110" s="1"/>
  <c r="S191" i="110"/>
  <c r="T191" i="110" s="1"/>
  <c r="M192" i="110"/>
  <c r="L192" i="110"/>
  <c r="S192" i="110"/>
  <c r="T192" i="110" s="1"/>
  <c r="M193" i="110"/>
  <c r="L194" i="110"/>
  <c r="L195" i="110"/>
  <c r="W195" i="110" s="1"/>
  <c r="M195" i="110"/>
  <c r="H362" i="110"/>
  <c r="M196" i="110"/>
  <c r="G197" i="110"/>
  <c r="M197" i="110"/>
  <c r="J363" i="110"/>
  <c r="K198" i="110"/>
  <c r="M198" i="110"/>
  <c r="L198" i="110"/>
  <c r="Q199" i="110"/>
  <c r="L200" i="110"/>
  <c r="M200" i="110"/>
  <c r="K200" i="110"/>
  <c r="K201" i="110"/>
  <c r="M201" i="110"/>
  <c r="M202" i="110"/>
  <c r="K203" i="110"/>
  <c r="L203" i="110"/>
  <c r="W203" i="110" s="1"/>
  <c r="K204" i="110"/>
  <c r="K205" i="110"/>
  <c r="L205" i="110"/>
  <c r="W205" i="110" s="1"/>
  <c r="L206" i="110"/>
  <c r="M206" i="110"/>
  <c r="L207" i="110"/>
  <c r="W207" i="110" s="1"/>
  <c r="M207" i="110"/>
  <c r="S207" i="110"/>
  <c r="T207" i="110" s="1"/>
  <c r="L208" i="110"/>
  <c r="M208" i="110"/>
  <c r="L209" i="110"/>
  <c r="W209" i="110" s="1"/>
  <c r="M209" i="110"/>
  <c r="L210" i="110"/>
  <c r="K211" i="110"/>
  <c r="L211" i="110"/>
  <c r="W211" i="110" s="1"/>
  <c r="K212" i="110"/>
  <c r="K213" i="110"/>
  <c r="L214" i="110"/>
  <c r="W214" i="110" s="1"/>
  <c r="L215" i="110"/>
  <c r="W215" i="110" s="1"/>
  <c r="M215" i="110"/>
  <c r="L217" i="110"/>
  <c r="M217" i="110"/>
  <c r="M218" i="110"/>
  <c r="K219" i="110"/>
  <c r="L219" i="110"/>
  <c r="W219" i="110" s="1"/>
  <c r="M220" i="110"/>
  <c r="K221" i="110"/>
  <c r="L221" i="110"/>
  <c r="K223" i="110"/>
  <c r="M224" i="110"/>
  <c r="S225" i="110"/>
  <c r="T225" i="110" s="1"/>
  <c r="L225" i="110"/>
  <c r="K225" i="110"/>
  <c r="S226" i="110"/>
  <c r="T226" i="110" s="1"/>
  <c r="L226" i="110"/>
  <c r="W226" i="110" s="1"/>
  <c r="S227" i="110"/>
  <c r="T227" i="110" s="1"/>
  <c r="K227" i="110"/>
  <c r="M227" i="110"/>
  <c r="M228" i="110"/>
  <c r="L229" i="110"/>
  <c r="M229" i="110"/>
  <c r="K230" i="110"/>
  <c r="M230" i="110"/>
  <c r="M231" i="110"/>
  <c r="L231" i="110"/>
  <c r="M232" i="110"/>
  <c r="K233" i="110"/>
  <c r="L233" i="110"/>
  <c r="S235" i="110"/>
  <c r="T235" i="110" s="1"/>
  <c r="M235" i="110"/>
  <c r="K235" i="110"/>
  <c r="S236" i="110"/>
  <c r="T236" i="110" s="1"/>
  <c r="M237" i="110"/>
  <c r="L238" i="110"/>
  <c r="K238" i="110"/>
  <c r="S239" i="110"/>
  <c r="T239" i="110" s="1"/>
  <c r="K239" i="110"/>
  <c r="L240" i="110"/>
  <c r="W240" i="110" s="1"/>
  <c r="S241" i="110"/>
  <c r="T241" i="110" s="1"/>
  <c r="L241" i="110"/>
  <c r="M241" i="110"/>
  <c r="M242" i="110"/>
  <c r="L243" i="110"/>
  <c r="M243" i="110"/>
  <c r="S243" i="110"/>
  <c r="T243" i="110" s="1"/>
  <c r="M245" i="110"/>
  <c r="L246" i="110"/>
  <c r="W246" i="110" s="1"/>
  <c r="M246" i="110"/>
  <c r="L247" i="110"/>
  <c r="M247" i="110"/>
  <c r="S248" i="110"/>
  <c r="T248" i="110" s="1"/>
  <c r="K248" i="110"/>
  <c r="M249" i="110"/>
  <c r="M250" i="110"/>
  <c r="Q250" i="110"/>
  <c r="G252" i="110"/>
  <c r="M252" i="110"/>
  <c r="S252" i="110"/>
  <c r="T252" i="110" s="1"/>
  <c r="M254" i="110"/>
  <c r="S255" i="110"/>
  <c r="T255" i="110" s="1"/>
  <c r="M255" i="110"/>
  <c r="L255" i="110"/>
  <c r="W255" i="110" s="1"/>
  <c r="K256" i="110"/>
  <c r="M256" i="110"/>
  <c r="L257" i="110"/>
  <c r="M257" i="110"/>
  <c r="Q257" i="110"/>
  <c r="S258" i="110"/>
  <c r="T258" i="110" s="1"/>
  <c r="K258" i="110"/>
  <c r="L258" i="110"/>
  <c r="K259" i="110"/>
  <c r="L260" i="110"/>
  <c r="M260" i="110"/>
  <c r="K261" i="110"/>
  <c r="L261" i="110"/>
  <c r="W261" i="110" s="1"/>
  <c r="M262" i="110"/>
  <c r="S262" i="110"/>
  <c r="T262" i="110" s="1"/>
  <c r="M263" i="110"/>
  <c r="M264" i="110"/>
  <c r="M265" i="110"/>
  <c r="L265" i="110"/>
  <c r="M266" i="110"/>
  <c r="S266" i="110"/>
  <c r="T266" i="110" s="1"/>
  <c r="M267" i="110"/>
  <c r="M268" i="110"/>
  <c r="M269" i="110"/>
  <c r="K269" i="110"/>
  <c r="K270" i="110"/>
  <c r="L271" i="110"/>
  <c r="M271" i="110"/>
  <c r="K272" i="110"/>
  <c r="L272" i="110"/>
  <c r="W272" i="110" s="1"/>
  <c r="M272" i="110"/>
  <c r="K273" i="110"/>
  <c r="L273" i="110"/>
  <c r="W273" i="110" s="1"/>
  <c r="Q274" i="110"/>
  <c r="K274" i="110"/>
  <c r="L274" i="110"/>
  <c r="W274" i="110" s="1"/>
  <c r="L275" i="110"/>
  <c r="W275" i="110" s="1"/>
  <c r="M275" i="110"/>
  <c r="L276" i="110"/>
  <c r="M276" i="110"/>
  <c r="S276" i="110"/>
  <c r="T276" i="110" s="1"/>
  <c r="M277" i="110"/>
  <c r="S278" i="110"/>
  <c r="T278" i="110" s="1"/>
  <c r="K278" i="110"/>
  <c r="L278" i="110"/>
  <c r="W278" i="110" s="1"/>
  <c r="L279" i="110"/>
  <c r="M279" i="110"/>
  <c r="L282" i="110"/>
  <c r="W282" i="110"/>
  <c r="K283" i="110"/>
  <c r="M283" i="110"/>
  <c r="M284" i="110"/>
  <c r="Q285" i="110"/>
  <c r="K286" i="110"/>
  <c r="J32" i="110"/>
  <c r="I33" i="110"/>
  <c r="W33" i="110"/>
  <c r="S33" i="110"/>
  <c r="T33" i="110" s="1"/>
  <c r="H34" i="110"/>
  <c r="I34" i="110"/>
  <c r="W34" i="110" s="1"/>
  <c r="J34" i="110"/>
  <c r="M288" i="110"/>
  <c r="H35" i="110"/>
  <c r="J35" i="110"/>
  <c r="M289" i="110"/>
  <c r="L74" i="110"/>
  <c r="M74" i="110"/>
  <c r="S74" i="110"/>
  <c r="T74" i="110" s="1"/>
  <c r="H364" i="110"/>
  <c r="I364" i="110"/>
  <c r="J364" i="110"/>
  <c r="K364" i="110"/>
  <c r="L364" i="110"/>
  <c r="M364" i="110"/>
  <c r="S364" i="110"/>
  <c r="T364" i="110" s="1"/>
  <c r="H365" i="110"/>
  <c r="I365" i="110"/>
  <c r="J365" i="110"/>
  <c r="K365" i="110"/>
  <c r="L365" i="110"/>
  <c r="M365" i="110"/>
  <c r="S365" i="110"/>
  <c r="T365" i="110" s="1"/>
  <c r="H366" i="110"/>
  <c r="I366" i="110"/>
  <c r="J366" i="110"/>
  <c r="K366" i="110"/>
  <c r="L366" i="110"/>
  <c r="M366" i="110"/>
  <c r="S366" i="110"/>
  <c r="T366" i="110" s="1"/>
  <c r="H367" i="110"/>
  <c r="I367" i="110"/>
  <c r="J367" i="110"/>
  <c r="K367" i="110"/>
  <c r="L367" i="110"/>
  <c r="M367" i="110"/>
  <c r="S367" i="110"/>
  <c r="T367" i="110" s="1"/>
  <c r="H368" i="110"/>
  <c r="I368" i="110"/>
  <c r="J368" i="110"/>
  <c r="K368" i="110"/>
  <c r="L368" i="110"/>
  <c r="M368" i="110"/>
  <c r="S368" i="110"/>
  <c r="T368" i="110" s="1"/>
  <c r="H369" i="110"/>
  <c r="I369" i="110"/>
  <c r="J369" i="110"/>
  <c r="K369" i="110"/>
  <c r="L369" i="110"/>
  <c r="M369" i="110"/>
  <c r="S369" i="110"/>
  <c r="T369" i="110" s="1"/>
  <c r="Q455" i="110"/>
  <c r="G461" i="110"/>
  <c r="G469" i="110"/>
  <c r="D12" i="115"/>
  <c r="E12" i="115"/>
  <c r="D13" i="115"/>
  <c r="G13" i="115" s="1"/>
  <c r="E13" i="115"/>
  <c r="I13" i="115" s="1"/>
  <c r="D14" i="115"/>
  <c r="G14" i="115" s="1"/>
  <c r="E14" i="115"/>
  <c r="D15" i="115"/>
  <c r="H15" i="115" s="1"/>
  <c r="E15" i="115"/>
  <c r="J15" i="115" s="1"/>
  <c r="D16" i="115"/>
  <c r="H16" i="115" s="1"/>
  <c r="E16" i="115"/>
  <c r="J16" i="115" s="1"/>
  <c r="D17" i="115"/>
  <c r="H17" i="115" s="1"/>
  <c r="E17" i="115"/>
  <c r="J17" i="115" s="1"/>
  <c r="D18" i="115"/>
  <c r="H18" i="115" s="1"/>
  <c r="E18" i="115"/>
  <c r="J18" i="115" s="1"/>
  <c r="K19" i="115"/>
  <c r="J1" i="109"/>
  <c r="B29" i="109"/>
  <c r="I36" i="116"/>
  <c r="AA9" i="116"/>
  <c r="AA71" i="116"/>
  <c r="I46" i="116"/>
  <c r="I42" i="116"/>
  <c r="I34" i="116"/>
  <c r="I32" i="116"/>
  <c r="I30" i="116"/>
  <c r="I23" i="116"/>
  <c r="I14" i="116"/>
  <c r="I9" i="116"/>
  <c r="I48" i="116"/>
  <c r="I47" i="116"/>
  <c r="I38" i="116"/>
  <c r="I37" i="116"/>
  <c r="I35" i="116"/>
  <c r="Z31" i="116"/>
  <c r="I7" i="116"/>
  <c r="I6" i="116"/>
  <c r="Z52" i="116"/>
  <c r="I43" i="116"/>
  <c r="I31" i="116"/>
  <c r="I20" i="116"/>
  <c r="I50" i="116"/>
  <c r="I45" i="116"/>
  <c r="I41" i="116"/>
  <c r="I33" i="116"/>
  <c r="I27" i="116"/>
  <c r="I26" i="116"/>
  <c r="I24" i="116"/>
  <c r="I22" i="116"/>
  <c r="I19" i="116"/>
  <c r="I18" i="116"/>
  <c r="I17" i="116"/>
  <c r="I16" i="116"/>
  <c r="I15" i="116"/>
  <c r="I13" i="116"/>
  <c r="I12" i="116"/>
  <c r="I51" i="116"/>
  <c r="I40" i="116"/>
  <c r="I29" i="116"/>
  <c r="I28" i="116"/>
  <c r="I10" i="116"/>
  <c r="I8" i="116"/>
  <c r="L133" i="110"/>
  <c r="W133" i="110" s="1"/>
  <c r="S300" i="110"/>
  <c r="T300" i="110" s="1"/>
  <c r="S118" i="110"/>
  <c r="T118" i="110" s="1"/>
  <c r="K117" i="110"/>
  <c r="L110" i="110"/>
  <c r="W110" i="110" s="1"/>
  <c r="K106" i="110"/>
  <c r="K279" i="110"/>
  <c r="S274" i="110"/>
  <c r="T274" i="110" s="1"/>
  <c r="G260" i="110"/>
  <c r="K236" i="110"/>
  <c r="S197" i="110"/>
  <c r="T197" i="110" s="1"/>
  <c r="I362" i="110"/>
  <c r="J362" i="110"/>
  <c r="G164" i="110"/>
  <c r="L155" i="110"/>
  <c r="L151" i="110"/>
  <c r="K140" i="110"/>
  <c r="K134" i="110"/>
  <c r="S307" i="110"/>
  <c r="T307" i="110" s="1"/>
  <c r="Q298" i="110"/>
  <c r="K298" i="110" s="1"/>
  <c r="K123" i="110"/>
  <c r="M120" i="110"/>
  <c r="L116" i="110"/>
  <c r="W116" i="110" s="1"/>
  <c r="K101" i="110"/>
  <c r="H29" i="110"/>
  <c r="L287" i="110"/>
  <c r="G284" i="110"/>
  <c r="M281" i="110"/>
  <c r="S272" i="110"/>
  <c r="T272" i="110" s="1"/>
  <c r="G257" i="110"/>
  <c r="S210" i="110"/>
  <c r="T210" i="110" s="1"/>
  <c r="M204" i="110"/>
  <c r="M188" i="110"/>
  <c r="S173" i="110"/>
  <c r="T173" i="110" s="1"/>
  <c r="L169" i="110"/>
  <c r="W169" i="110" s="1"/>
  <c r="Q158" i="110"/>
  <c r="M151" i="110"/>
  <c r="M148" i="110"/>
  <c r="L144" i="110"/>
  <c r="L141" i="110"/>
  <c r="M140" i="110"/>
  <c r="L127" i="110"/>
  <c r="M118" i="110"/>
  <c r="M105" i="110"/>
  <c r="K104" i="110"/>
  <c r="M102" i="110"/>
  <c r="J31" i="110"/>
  <c r="M280" i="110"/>
  <c r="S277" i="110"/>
  <c r="T277" i="110" s="1"/>
  <c r="M258" i="110"/>
  <c r="S250" i="110"/>
  <c r="T250" i="110" s="1"/>
  <c r="L227" i="110"/>
  <c r="S220" i="110"/>
  <c r="T220" i="110" s="1"/>
  <c r="S164" i="110"/>
  <c r="T164" i="110" s="1"/>
  <c r="S162" i="110"/>
  <c r="T162" i="110" s="1"/>
  <c r="S161" i="110"/>
  <c r="T161" i="110" s="1"/>
  <c r="L146" i="110"/>
  <c r="W146" i="110" s="1"/>
  <c r="L142" i="110"/>
  <c r="M131" i="110"/>
  <c r="L104" i="110"/>
  <c r="W104" i="110" s="1"/>
  <c r="S341" i="110"/>
  <c r="T341" i="110" s="1"/>
  <c r="L341" i="110"/>
  <c r="K336" i="110"/>
  <c r="S91" i="110"/>
  <c r="T91" i="110" s="1"/>
  <c r="H324" i="110"/>
  <c r="J316" i="110"/>
  <c r="G77" i="110"/>
  <c r="M56" i="110"/>
  <c r="L47" i="110"/>
  <c r="W47" i="110" s="1"/>
  <c r="K38" i="110"/>
  <c r="K808" i="108"/>
  <c r="L796" i="108"/>
  <c r="L316" i="110"/>
  <c r="S444" i="110"/>
  <c r="T444" i="110" s="1"/>
  <c r="S413" i="110"/>
  <c r="T413" i="110" s="1"/>
  <c r="G406" i="110"/>
  <c r="L88" i="110"/>
  <c r="L78" i="110"/>
  <c r="L77" i="110"/>
  <c r="K51" i="110"/>
  <c r="L49" i="110"/>
  <c r="W49" i="110" s="1"/>
  <c r="K39" i="110"/>
  <c r="K36" i="110"/>
  <c r="M744" i="108"/>
  <c r="M740" i="108"/>
  <c r="S23" i="110"/>
  <c r="T23" i="110" s="1"/>
  <c r="G345" i="110"/>
  <c r="Q336" i="110"/>
  <c r="M324" i="110"/>
  <c r="L90" i="110"/>
  <c r="K89" i="110"/>
  <c r="S319" i="110"/>
  <c r="T319" i="110" s="1"/>
  <c r="K319" i="110"/>
  <c r="G425" i="110"/>
  <c r="M809" i="108"/>
  <c r="M806" i="108"/>
  <c r="G196" i="110"/>
  <c r="G191" i="110"/>
  <c r="G139" i="110"/>
  <c r="S120" i="110"/>
  <c r="T120" i="110" s="1"/>
  <c r="G115" i="110"/>
  <c r="I356" i="110"/>
  <c r="I353" i="110"/>
  <c r="M341" i="110"/>
  <c r="S339" i="110"/>
  <c r="T339" i="110" s="1"/>
  <c r="S323" i="110"/>
  <c r="T323" i="110" s="1"/>
  <c r="G323" i="110"/>
  <c r="S13" i="110"/>
  <c r="T13" i="110" s="1"/>
  <c r="K316" i="110"/>
  <c r="G316" i="110"/>
  <c r="Q435" i="110"/>
  <c r="S434" i="110"/>
  <c r="T434" i="110" s="1"/>
  <c r="G422" i="110"/>
  <c r="S73" i="110"/>
  <c r="T73" i="110" s="1"/>
  <c r="M71" i="110"/>
  <c r="K61" i="110"/>
  <c r="K40" i="110"/>
  <c r="K37" i="110"/>
  <c r="G255" i="108"/>
  <c r="N255" i="108"/>
  <c r="L809" i="108"/>
  <c r="L789" i="108"/>
  <c r="L745" i="108"/>
  <c r="K698" i="108"/>
  <c r="M514" i="108"/>
  <c r="M483" i="108"/>
  <c r="M467" i="108"/>
  <c r="K714" i="108"/>
  <c r="K706" i="108"/>
  <c r="L697" i="108"/>
  <c r="L547" i="108"/>
  <c r="K489" i="108"/>
  <c r="M484" i="108"/>
  <c r="M473" i="108"/>
  <c r="S56" i="110"/>
  <c r="T56" i="110" s="1"/>
  <c r="I310" i="110"/>
  <c r="L734" i="108"/>
  <c r="K724" i="108"/>
  <c r="K688" i="108"/>
  <c r="L587" i="108"/>
  <c r="G497" i="108"/>
  <c r="G390" i="110"/>
  <c r="G756" i="108"/>
  <c r="L700" i="108"/>
  <c r="L690" i="108"/>
  <c r="L688" i="108"/>
  <c r="K471" i="108"/>
  <c r="G467" i="108"/>
  <c r="G465" i="108"/>
  <c r="L435" i="108"/>
  <c r="K386" i="108"/>
  <c r="L383" i="108"/>
  <c r="K359" i="108"/>
  <c r="K327" i="108"/>
  <c r="G325" i="108"/>
  <c r="G447" i="108"/>
  <c r="M389" i="108"/>
  <c r="G388" i="108"/>
  <c r="M343" i="108"/>
  <c r="L325" i="108"/>
  <c r="L316" i="108"/>
  <c r="K292" i="108"/>
  <c r="G451" i="108"/>
  <c r="K324" i="108"/>
  <c r="K306" i="108"/>
  <c r="K494" i="108"/>
  <c r="G489" i="108"/>
  <c r="L444" i="108"/>
  <c r="L436" i="108"/>
  <c r="K392" i="108"/>
  <c r="M390" i="108"/>
  <c r="L379" i="108"/>
  <c r="L353" i="108"/>
  <c r="AC10" i="108"/>
  <c r="O10" i="108"/>
  <c r="K321" i="108"/>
  <c r="G332" i="108"/>
  <c r="K180" i="108"/>
  <c r="K121" i="108"/>
  <c r="G117" i="108"/>
  <c r="L102" i="108"/>
  <c r="K91" i="108"/>
  <c r="K89" i="108"/>
  <c r="G484" i="108"/>
  <c r="G394" i="108"/>
  <c r="M342" i="108"/>
  <c r="K329" i="108"/>
  <c r="K326" i="108"/>
  <c r="M321" i="108"/>
  <c r="G321" i="108"/>
  <c r="M271" i="108"/>
  <c r="G268" i="108"/>
  <c r="L260" i="108"/>
  <c r="G215" i="108"/>
  <c r="G201" i="108"/>
  <c r="G177" i="108"/>
  <c r="M176" i="108"/>
  <c r="M175" i="108"/>
  <c r="K117" i="108"/>
  <c r="M113" i="108"/>
  <c r="K217" i="108"/>
  <c r="K189" i="108"/>
  <c r="K106" i="108"/>
  <c r="G355" i="108"/>
  <c r="G329" i="108"/>
  <c r="N329" i="108" s="1"/>
  <c r="M284" i="108"/>
  <c r="K101" i="108"/>
  <c r="G116" i="108"/>
  <c r="G106" i="108"/>
  <c r="M89" i="108"/>
  <c r="G48" i="108"/>
  <c r="K31" i="108"/>
  <c r="K30" i="108"/>
  <c r="N30" i="108" s="1"/>
  <c r="K28" i="108"/>
  <c r="G83" i="108"/>
  <c r="K79" i="108"/>
  <c r="G49" i="108"/>
  <c r="K15" i="108"/>
  <c r="L52" i="108"/>
  <c r="G16" i="108"/>
  <c r="S289" i="110"/>
  <c r="T289" i="110" s="1"/>
  <c r="G32" i="110"/>
  <c r="M285" i="110"/>
  <c r="L283" i="110"/>
  <c r="K282" i="110"/>
  <c r="M274" i="110"/>
  <c r="L242" i="110"/>
  <c r="W242" i="110" s="1"/>
  <c r="K226" i="110"/>
  <c r="K214" i="110"/>
  <c r="S214" i="110"/>
  <c r="T214" i="110" s="1"/>
  <c r="L213" i="110"/>
  <c r="W213" i="110"/>
  <c r="G202" i="110"/>
  <c r="K202" i="110"/>
  <c r="M199" i="110"/>
  <c r="S199" i="110"/>
  <c r="T199" i="110" s="1"/>
  <c r="L197" i="110"/>
  <c r="W197" i="110" s="1"/>
  <c r="K194" i="110"/>
  <c r="K192" i="110"/>
  <c r="S186" i="110"/>
  <c r="T186" i="110" s="1"/>
  <c r="Q185" i="110"/>
  <c r="M173" i="110"/>
  <c r="I359" i="110"/>
  <c r="S359" i="110"/>
  <c r="T359" i="110" s="1"/>
  <c r="S155" i="110"/>
  <c r="T155" i="110" s="1"/>
  <c r="S147" i="110"/>
  <c r="T147" i="110" s="1"/>
  <c r="Q147" i="110"/>
  <c r="G459" i="110"/>
  <c r="G367" i="110"/>
  <c r="L289" i="110"/>
  <c r="W289" i="110" s="1"/>
  <c r="S35" i="110"/>
  <c r="T35" i="110" s="1"/>
  <c r="I32" i="110"/>
  <c r="W32" i="110" s="1"/>
  <c r="L286" i="110"/>
  <c r="W286" i="110" s="1"/>
  <c r="L285" i="110"/>
  <c r="W285" i="110" s="1"/>
  <c r="G285" i="110"/>
  <c r="Q278" i="110"/>
  <c r="G277" i="110"/>
  <c r="L267" i="110"/>
  <c r="L248" i="110"/>
  <c r="M244" i="110"/>
  <c r="G242" i="110"/>
  <c r="K240" i="110"/>
  <c r="L232" i="110"/>
  <c r="W232" i="110" s="1"/>
  <c r="G231" i="110"/>
  <c r="G229" i="110"/>
  <c r="Q227" i="110"/>
  <c r="M226" i="110"/>
  <c r="Q205" i="110"/>
  <c r="S205" i="110"/>
  <c r="T205" i="110" s="1"/>
  <c r="S204" i="110"/>
  <c r="T204" i="110" s="1"/>
  <c r="L202" i="110"/>
  <c r="W202" i="110" s="1"/>
  <c r="K179" i="110"/>
  <c r="S177" i="110"/>
  <c r="T177" i="110" s="1"/>
  <c r="G173" i="110"/>
  <c r="K165" i="110"/>
  <c r="L159" i="110"/>
  <c r="W159" i="110" s="1"/>
  <c r="G457" i="110"/>
  <c r="G455" i="110"/>
  <c r="G454" i="110"/>
  <c r="L290" i="110"/>
  <c r="W290" i="110" s="1"/>
  <c r="K289" i="110"/>
  <c r="S34" i="110"/>
  <c r="T34" i="110" s="1"/>
  <c r="M287" i="110"/>
  <c r="G287" i="110"/>
  <c r="K285" i="110"/>
  <c r="G281" i="110"/>
  <c r="G280" i="110"/>
  <c r="S279" i="110"/>
  <c r="T279" i="110" s="1"/>
  <c r="G279" i="110"/>
  <c r="L277" i="110"/>
  <c r="K271" i="110"/>
  <c r="Q267" i="110"/>
  <c r="K265" i="110"/>
  <c r="L263" i="110"/>
  <c r="S256" i="110"/>
  <c r="T256" i="110" s="1"/>
  <c r="L256" i="110"/>
  <c r="W256" i="110" s="1"/>
  <c r="S254" i="110"/>
  <c r="T254" i="110" s="1"/>
  <c r="G254" i="110"/>
  <c r="M253" i="110"/>
  <c r="M251" i="110"/>
  <c r="K249" i="110"/>
  <c r="K246" i="110"/>
  <c r="K241" i="110"/>
  <c r="L237" i="110"/>
  <c r="W237" i="110" s="1"/>
  <c r="Q235" i="110"/>
  <c r="M225" i="110"/>
  <c r="K224" i="110"/>
  <c r="K222" i="110"/>
  <c r="M216" i="110"/>
  <c r="M210" i="110"/>
  <c r="S203" i="110"/>
  <c r="T203" i="110" s="1"/>
  <c r="Q203" i="110"/>
  <c r="L196" i="110"/>
  <c r="K191" i="110"/>
  <c r="Q191" i="110"/>
  <c r="S182" i="110"/>
  <c r="T182" i="110" s="1"/>
  <c r="M180" i="110"/>
  <c r="S180" i="110"/>
  <c r="T180" i="110" s="1"/>
  <c r="M175" i="110"/>
  <c r="L165" i="110"/>
  <c r="W165" i="110" s="1"/>
  <c r="M162" i="110"/>
  <c r="L149" i="110"/>
  <c r="S245" i="110"/>
  <c r="T245" i="110" s="1"/>
  <c r="L239" i="110"/>
  <c r="W239" i="110" s="1"/>
  <c r="L235" i="110"/>
  <c r="M234" i="110"/>
  <c r="S219" i="110"/>
  <c r="T219" i="110" s="1"/>
  <c r="L212" i="110"/>
  <c r="W212" i="110" s="1"/>
  <c r="L189" i="110"/>
  <c r="G176" i="110"/>
  <c r="K176" i="110"/>
  <c r="K166" i="110"/>
  <c r="G152" i="110"/>
  <c r="K152" i="110"/>
  <c r="K146" i="110"/>
  <c r="G141" i="110"/>
  <c r="Q302" i="110"/>
  <c r="K302" i="110" s="1"/>
  <c r="S123" i="110"/>
  <c r="T123" i="110" s="1"/>
  <c r="S25" i="110"/>
  <c r="T25" i="110" s="1"/>
  <c r="I355" i="110"/>
  <c r="K355" i="110"/>
  <c r="J350" i="110"/>
  <c r="K350" i="110"/>
  <c r="J344" i="110"/>
  <c r="K94" i="110"/>
  <c r="K337" i="110"/>
  <c r="I333" i="110"/>
  <c r="Q439" i="110"/>
  <c r="S391" i="110"/>
  <c r="T391" i="110" s="1"/>
  <c r="Q372" i="110"/>
  <c r="M87" i="110"/>
  <c r="K78" i="110"/>
  <c r="M72" i="110"/>
  <c r="M63" i="110"/>
  <c r="K62" i="110"/>
  <c r="K41" i="110"/>
  <c r="L38" i="110"/>
  <c r="M677" i="108"/>
  <c r="Q96" i="110"/>
  <c r="J323" i="110"/>
  <c r="M89" i="110"/>
  <c r="I318" i="110"/>
  <c r="S438" i="110"/>
  <c r="T438" i="110" s="1"/>
  <c r="S431" i="110"/>
  <c r="T431" i="110" s="1"/>
  <c r="S427" i="110"/>
  <c r="T427" i="110" s="1"/>
  <c r="K54" i="110"/>
  <c r="Q51" i="110"/>
  <c r="K311" i="110"/>
  <c r="J311" i="110"/>
  <c r="M309" i="110"/>
  <c r="K309" i="110"/>
  <c r="G809" i="108"/>
  <c r="G362" i="110"/>
  <c r="G193" i="110"/>
  <c r="G184" i="110"/>
  <c r="G180" i="110"/>
  <c r="G178" i="110"/>
  <c r="G159" i="110"/>
  <c r="L139" i="110"/>
  <c r="W139" i="110" s="1"/>
  <c r="G134" i="110"/>
  <c r="G133" i="110"/>
  <c r="K129" i="110"/>
  <c r="G298" i="110"/>
  <c r="Q120" i="110"/>
  <c r="G119" i="110"/>
  <c r="L118" i="110"/>
  <c r="W118" i="110" s="1"/>
  <c r="K112" i="110"/>
  <c r="K110" i="110"/>
  <c r="S108" i="110"/>
  <c r="T108" i="110" s="1"/>
  <c r="K107" i="110"/>
  <c r="S105" i="110"/>
  <c r="T105" i="110" s="1"/>
  <c r="S104" i="110"/>
  <c r="T104" i="110" s="1"/>
  <c r="K102" i="110"/>
  <c r="S358" i="110"/>
  <c r="T358" i="110" s="1"/>
  <c r="Q357" i="110"/>
  <c r="L355" i="110"/>
  <c r="G349" i="110"/>
  <c r="S96" i="110"/>
  <c r="T96" i="110" s="1"/>
  <c r="G346" i="110"/>
  <c r="M344" i="110"/>
  <c r="J22" i="110"/>
  <c r="S340" i="110"/>
  <c r="T340" i="110" s="1"/>
  <c r="S337" i="110"/>
  <c r="T337" i="110" s="1"/>
  <c r="J337" i="110"/>
  <c r="I336" i="110"/>
  <c r="L336" i="110"/>
  <c r="S333" i="110"/>
  <c r="T333" i="110" s="1"/>
  <c r="G91" i="110"/>
  <c r="K91" i="110"/>
  <c r="G330" i="110"/>
  <c r="S437" i="110"/>
  <c r="T437" i="110" s="1"/>
  <c r="S436" i="110"/>
  <c r="T436" i="110" s="1"/>
  <c r="G380" i="110"/>
  <c r="L87" i="110"/>
  <c r="W87" i="110" s="1"/>
  <c r="K79" i="110"/>
  <c r="M73" i="110"/>
  <c r="M68" i="110"/>
  <c r="K64" i="110"/>
  <c r="M61" i="110"/>
  <c r="K58" i="110"/>
  <c r="Q57" i="110"/>
  <c r="L52" i="110"/>
  <c r="W52" i="110" s="1"/>
  <c r="G52" i="110"/>
  <c r="M314" i="110"/>
  <c r="K314" i="110"/>
  <c r="S314" i="110"/>
  <c r="T314" i="110" s="1"/>
  <c r="K50" i="110"/>
  <c r="S44" i="110"/>
  <c r="T44" i="110" s="1"/>
  <c r="L44" i="110"/>
  <c r="W44" i="110" s="1"/>
  <c r="K809" i="108"/>
  <c r="G262" i="110"/>
  <c r="G235" i="110"/>
  <c r="M205" i="110"/>
  <c r="L204" i="110"/>
  <c r="W204" i="110" s="1"/>
  <c r="G204" i="110"/>
  <c r="Q202" i="110"/>
  <c r="K195" i="110"/>
  <c r="L186" i="110"/>
  <c r="W186" i="110" s="1"/>
  <c r="G186" i="110"/>
  <c r="G185" i="110"/>
  <c r="G183" i="110"/>
  <c r="K177" i="110"/>
  <c r="S166" i="110"/>
  <c r="T166" i="110" s="1"/>
  <c r="S165" i="110"/>
  <c r="T165" i="110" s="1"/>
  <c r="K159" i="110"/>
  <c r="M155" i="110"/>
  <c r="S154" i="110"/>
  <c r="T154" i="110" s="1"/>
  <c r="G151" i="110"/>
  <c r="K149" i="110"/>
  <c r="L145" i="110"/>
  <c r="W145" i="110" s="1"/>
  <c r="Q143" i="110"/>
  <c r="K128" i="110"/>
  <c r="Q301" i="110"/>
  <c r="N301" i="110" s="1"/>
  <c r="L123" i="110"/>
  <c r="W123" i="110" s="1"/>
  <c r="M121" i="110"/>
  <c r="K113" i="110"/>
  <c r="L111" i="110"/>
  <c r="W111" i="110" s="1"/>
  <c r="L105" i="110"/>
  <c r="Q104" i="110"/>
  <c r="M104" i="110"/>
  <c r="K103" i="110"/>
  <c r="L101" i="110"/>
  <c r="W101" i="110" s="1"/>
  <c r="Q99" i="110"/>
  <c r="Q26" i="110"/>
  <c r="M357" i="110"/>
  <c r="J355" i="110"/>
  <c r="H353" i="110"/>
  <c r="K353" i="110"/>
  <c r="S24" i="110"/>
  <c r="T24" i="110" s="1"/>
  <c r="I349" i="110"/>
  <c r="L349" i="110"/>
  <c r="S344" i="110"/>
  <c r="T344" i="110" s="1"/>
  <c r="K344" i="110"/>
  <c r="G339" i="110"/>
  <c r="H337" i="110"/>
  <c r="G334" i="110"/>
  <c r="S92" i="110"/>
  <c r="T92" i="110" s="1"/>
  <c r="M333" i="110"/>
  <c r="H17" i="110"/>
  <c r="H330" i="110"/>
  <c r="S14" i="110"/>
  <c r="T14" i="110" s="1"/>
  <c r="J13" i="110"/>
  <c r="H319" i="110"/>
  <c r="L319" i="110"/>
  <c r="M318" i="110"/>
  <c r="I12" i="110"/>
  <c r="W12" i="110" s="1"/>
  <c r="S443" i="110"/>
  <c r="T443" i="110" s="1"/>
  <c r="Q376" i="110"/>
  <c r="K81" i="110"/>
  <c r="M80" i="110"/>
  <c r="S80" i="110"/>
  <c r="T80" i="110" s="1"/>
  <c r="K76" i="110"/>
  <c r="G73" i="110"/>
  <c r="S71" i="110"/>
  <c r="T71" i="110" s="1"/>
  <c r="K65" i="110"/>
  <c r="S60" i="110"/>
  <c r="T60" i="110" s="1"/>
  <c r="Q60" i="110"/>
  <c r="S291" i="110"/>
  <c r="T291" i="110" s="1"/>
  <c r="L56" i="110"/>
  <c r="W56" i="110" s="1"/>
  <c r="K55" i="110"/>
  <c r="L53" i="110"/>
  <c r="W53" i="110" s="1"/>
  <c r="S52" i="110"/>
  <c r="T52" i="110" s="1"/>
  <c r="M46" i="110"/>
  <c r="M38" i="110"/>
  <c r="G849" i="108"/>
  <c r="N849" i="108" s="1"/>
  <c r="M810" i="108"/>
  <c r="G356" i="110"/>
  <c r="S435" i="110"/>
  <c r="T435" i="110" s="1"/>
  <c r="Q412" i="110"/>
  <c r="G407" i="110"/>
  <c r="S389" i="110"/>
  <c r="T389" i="110" s="1"/>
  <c r="S79" i="110"/>
  <c r="T79" i="110" s="1"/>
  <c r="L69" i="110"/>
  <c r="L57" i="110"/>
  <c r="G44" i="110"/>
  <c r="G845" i="108"/>
  <c r="N845" i="108" s="1"/>
  <c r="G852" i="108"/>
  <c r="G847" i="108"/>
  <c r="G832" i="108"/>
  <c r="L798" i="108"/>
  <c r="K740" i="108"/>
  <c r="K734" i="108"/>
  <c r="K722" i="108"/>
  <c r="L715" i="108"/>
  <c r="K701" i="108"/>
  <c r="G804" i="108"/>
  <c r="N804" i="108" s="1"/>
  <c r="L804" i="108"/>
  <c r="L774" i="108"/>
  <c r="M749" i="108"/>
  <c r="M720" i="108"/>
  <c r="K712" i="108"/>
  <c r="N712" i="108" s="1"/>
  <c r="G859" i="108"/>
  <c r="G856" i="108"/>
  <c r="G838" i="108"/>
  <c r="L797" i="108"/>
  <c r="L790" i="108"/>
  <c r="L780" i="108"/>
  <c r="L769" i="108"/>
  <c r="G754" i="108"/>
  <c r="M739" i="108"/>
  <c r="M719" i="108"/>
  <c r="G41" i="110"/>
  <c r="L859" i="108"/>
  <c r="K856" i="108"/>
  <c r="G842" i="108"/>
  <c r="L838" i="108"/>
  <c r="G822" i="108"/>
  <c r="G818" i="108"/>
  <c r="G816" i="108"/>
  <c r="G812" i="108"/>
  <c r="L801" i="108"/>
  <c r="K791" i="108"/>
  <c r="L773" i="108"/>
  <c r="L766" i="108"/>
  <c r="L764" i="108"/>
  <c r="L717" i="108"/>
  <c r="M713" i="108"/>
  <c r="G715" i="108"/>
  <c r="M706" i="108"/>
  <c r="M705" i="108"/>
  <c r="K702" i="108"/>
  <c r="M697" i="108"/>
  <c r="M693" i="108"/>
  <c r="L671" i="108"/>
  <c r="K510" i="108"/>
  <c r="M509" i="108"/>
  <c r="G508" i="108"/>
  <c r="K504" i="108"/>
  <c r="G500" i="108"/>
  <c r="M491" i="108"/>
  <c r="K485" i="108"/>
  <c r="M481" i="108"/>
  <c r="G475" i="108"/>
  <c r="L631" i="108"/>
  <c r="L629" i="108"/>
  <c r="K513" i="108"/>
  <c r="K502" i="108"/>
  <c r="L493" i="108"/>
  <c r="K691" i="108"/>
  <c r="L626" i="108"/>
  <c r="L606" i="108"/>
  <c r="L590" i="108"/>
  <c r="L584" i="108"/>
  <c r="L551" i="108"/>
  <c r="K509" i="108"/>
  <c r="M504" i="108"/>
  <c r="K501" i="108"/>
  <c r="M488" i="108"/>
  <c r="M487" i="108"/>
  <c r="L486" i="108"/>
  <c r="K725" i="108"/>
  <c r="M715" i="108"/>
  <c r="G714" i="108"/>
  <c r="G707" i="108"/>
  <c r="G702" i="108"/>
  <c r="M682" i="108"/>
  <c r="L638" i="108"/>
  <c r="L580" i="108"/>
  <c r="L578" i="108"/>
  <c r="L531" i="108"/>
  <c r="G480" i="108"/>
  <c r="M479" i="108"/>
  <c r="K478" i="108"/>
  <c r="K464" i="108"/>
  <c r="G706" i="108"/>
  <c r="L533" i="108"/>
  <c r="K491" i="108"/>
  <c r="K488" i="108"/>
  <c r="K487" i="108"/>
  <c r="K479" i="108"/>
  <c r="K459" i="108"/>
  <c r="M447" i="108"/>
  <c r="M386" i="108"/>
  <c r="K381" i="108"/>
  <c r="L352" i="108"/>
  <c r="L341" i="108"/>
  <c r="G383" i="108"/>
  <c r="K379" i="108"/>
  <c r="M366" i="108"/>
  <c r="K362" i="108"/>
  <c r="K345" i="108"/>
  <c r="M461" i="108"/>
  <c r="M459" i="108"/>
  <c r="G459" i="108"/>
  <c r="K458" i="108"/>
  <c r="M457" i="108"/>
  <c r="G457" i="108"/>
  <c r="K455" i="108"/>
  <c r="K453" i="108"/>
  <c r="L451" i="108"/>
  <c r="M449" i="108"/>
  <c r="G449" i="108"/>
  <c r="K447" i="108"/>
  <c r="L414" i="108"/>
  <c r="K401" i="108"/>
  <c r="K384" i="108"/>
  <c r="G366" i="108"/>
  <c r="G461" i="108"/>
  <c r="M445" i="108"/>
  <c r="K445" i="108"/>
  <c r="L438" i="108"/>
  <c r="L409" i="108"/>
  <c r="L405" i="108"/>
  <c r="G380" i="108"/>
  <c r="K377" i="108"/>
  <c r="G342" i="108"/>
  <c r="M293" i="108"/>
  <c r="G341" i="108"/>
  <c r="M337" i="108"/>
  <c r="G337" i="108"/>
  <c r="K332" i="108"/>
  <c r="L330" i="108"/>
  <c r="L329" i="108"/>
  <c r="L327" i="108"/>
  <c r="L312" i="108"/>
  <c r="L306" i="108"/>
  <c r="L303" i="108"/>
  <c r="M289" i="108"/>
  <c r="M288" i="108"/>
  <c r="M285" i="108"/>
  <c r="L338" i="108"/>
  <c r="M328" i="108"/>
  <c r="M283" i="108"/>
  <c r="M282" i="108"/>
  <c r="L272" i="108"/>
  <c r="G354" i="108"/>
  <c r="K335" i="108"/>
  <c r="G323" i="108"/>
  <c r="K322" i="108"/>
  <c r="M294" i="108"/>
  <c r="M290" i="108"/>
  <c r="G269" i="108"/>
  <c r="K269" i="108"/>
  <c r="G253" i="108"/>
  <c r="L253" i="108"/>
  <c r="G251" i="108"/>
  <c r="K251" i="108"/>
  <c r="K250" i="108"/>
  <c r="G248" i="108"/>
  <c r="K248" i="108"/>
  <c r="L244" i="108"/>
  <c r="G238" i="108"/>
  <c r="K238" i="108"/>
  <c r="M233" i="108"/>
  <c r="M254" i="108"/>
  <c r="K243" i="108"/>
  <c r="L242" i="108"/>
  <c r="G288" i="108"/>
  <c r="M251" i="108"/>
  <c r="M249" i="108"/>
  <c r="M248" i="108"/>
  <c r="G229" i="108"/>
  <c r="M269" i="108"/>
  <c r="G254" i="108"/>
  <c r="K254" i="108"/>
  <c r="G249" i="108"/>
  <c r="M246" i="108"/>
  <c r="M237" i="108"/>
  <c r="K229" i="108"/>
  <c r="M238" i="108"/>
  <c r="M221" i="108"/>
  <c r="G189" i="108"/>
  <c r="M183" i="108"/>
  <c r="L245" i="108"/>
  <c r="G243" i="108"/>
  <c r="K207" i="108"/>
  <c r="K206" i="108"/>
  <c r="K193" i="108"/>
  <c r="G185" i="108"/>
  <c r="G184" i="108"/>
  <c r="K184" i="108"/>
  <c r="K209" i="108"/>
  <c r="L208" i="108"/>
  <c r="G205" i="108"/>
  <c r="M189" i="108"/>
  <c r="M241" i="108"/>
  <c r="M231" i="108"/>
  <c r="M199" i="108"/>
  <c r="G180" i="108"/>
  <c r="G241" i="108"/>
  <c r="G221" i="108"/>
  <c r="M178" i="108"/>
  <c r="K176" i="108"/>
  <c r="L174" i="108"/>
  <c r="L144" i="108"/>
  <c r="L143" i="108"/>
  <c r="L142" i="108"/>
  <c r="L141" i="108"/>
  <c r="G121" i="108"/>
  <c r="M121" i="108"/>
  <c r="M115" i="108"/>
  <c r="G107" i="108"/>
  <c r="K102" i="108"/>
  <c r="K99" i="108"/>
  <c r="L146" i="108"/>
  <c r="L139" i="108"/>
  <c r="L137" i="108"/>
  <c r="G130" i="108"/>
  <c r="L114" i="108"/>
  <c r="M107" i="108"/>
  <c r="L103" i="108"/>
  <c r="L101" i="108"/>
  <c r="M100" i="108"/>
  <c r="K96" i="108"/>
  <c r="M85" i="108"/>
  <c r="G120" i="108"/>
  <c r="G113" i="108"/>
  <c r="K113" i="108"/>
  <c r="M99" i="108"/>
  <c r="G176" i="108"/>
  <c r="M98" i="108"/>
  <c r="M96" i="108"/>
  <c r="K95" i="108"/>
  <c r="M84" i="108"/>
  <c r="M82" i="108"/>
  <c r="G76" i="108"/>
  <c r="N76" i="108"/>
  <c r="G100" i="108"/>
  <c r="G68" i="108"/>
  <c r="K42" i="108"/>
  <c r="N42" i="108" s="1"/>
  <c r="K29" i="108"/>
  <c r="G19" i="108"/>
  <c r="K16" i="108"/>
  <c r="M52" i="108"/>
  <c r="R20" i="108"/>
  <c r="R55" i="108"/>
  <c r="K44" i="108"/>
  <c r="K43" i="108"/>
  <c r="K35" i="108"/>
  <c r="K33" i="108"/>
  <c r="G32" i="108"/>
  <c r="N32" i="108" s="1"/>
  <c r="H25" i="110"/>
  <c r="H351" i="110"/>
  <c r="I351" i="110"/>
  <c r="G97" i="110"/>
  <c r="J348" i="110"/>
  <c r="K348" i="110"/>
  <c r="L342" i="110"/>
  <c r="L338" i="110"/>
  <c r="S338" i="110"/>
  <c r="T338" i="110" s="1"/>
  <c r="H329" i="110"/>
  <c r="L329" i="110"/>
  <c r="J327" i="110"/>
  <c r="K325" i="110"/>
  <c r="Q325" i="110"/>
  <c r="S447" i="110"/>
  <c r="T447" i="110" s="1"/>
  <c r="Q442" i="110"/>
  <c r="S424" i="110"/>
  <c r="T424" i="110" s="1"/>
  <c r="S411" i="110"/>
  <c r="T411" i="110" s="1"/>
  <c r="Q392" i="110"/>
  <c r="S392" i="110"/>
  <c r="T392" i="110" s="1"/>
  <c r="S382" i="110"/>
  <c r="T382" i="110" s="1"/>
  <c r="Q380" i="110"/>
  <c r="M69" i="110"/>
  <c r="Q64" i="110"/>
  <c r="S64" i="110"/>
  <c r="T64" i="110" s="1"/>
  <c r="L63" i="110"/>
  <c r="L61" i="110"/>
  <c r="W61" i="110" s="1"/>
  <c r="K56" i="110"/>
  <c r="H312" i="110"/>
  <c r="L312" i="110"/>
  <c r="S312" i="110"/>
  <c r="T312" i="110" s="1"/>
  <c r="I312" i="110"/>
  <c r="M312" i="110"/>
  <c r="M49" i="110"/>
  <c r="L43" i="110"/>
  <c r="Q39" i="110"/>
  <c r="L807" i="108"/>
  <c r="G806" i="108"/>
  <c r="K792" i="108"/>
  <c r="L786" i="108"/>
  <c r="L771" i="108"/>
  <c r="B23" i="109"/>
  <c r="K143" i="110"/>
  <c r="T455" i="110"/>
  <c r="G33" i="110"/>
  <c r="K287" i="110"/>
  <c r="S308" i="110"/>
  <c r="T308" i="110" s="1"/>
  <c r="S284" i="110"/>
  <c r="T284" i="110" s="1"/>
  <c r="L281" i="110"/>
  <c r="W281" i="110" s="1"/>
  <c r="M278" i="110"/>
  <c r="K277" i="110"/>
  <c r="M270" i="110"/>
  <c r="S269" i="110"/>
  <c r="T269" i="110" s="1"/>
  <c r="L268" i="110"/>
  <c r="L266" i="110"/>
  <c r="L264" i="110"/>
  <c r="W264" i="110" s="1"/>
  <c r="Q263" i="110"/>
  <c r="K263" i="110"/>
  <c r="L262" i="110"/>
  <c r="W262" i="110" s="1"/>
  <c r="M261" i="110"/>
  <c r="K260" i="110"/>
  <c r="K257" i="110"/>
  <c r="L254" i="110"/>
  <c r="L252" i="110"/>
  <c r="W252" i="110" s="1"/>
  <c r="L251" i="110"/>
  <c r="W251" i="110" s="1"/>
  <c r="G251" i="110"/>
  <c r="G249" i="110"/>
  <c r="K247" i="110"/>
  <c r="K243" i="110"/>
  <c r="M238" i="110"/>
  <c r="K237" i="110"/>
  <c r="L234" i="110"/>
  <c r="W234" i="110" s="1"/>
  <c r="G234" i="110"/>
  <c r="K232" i="110"/>
  <c r="K231" i="110"/>
  <c r="K229" i="110"/>
  <c r="L228" i="110"/>
  <c r="W228" i="110" s="1"/>
  <c r="G228" i="110"/>
  <c r="G227" i="110"/>
  <c r="G226" i="110"/>
  <c r="M223" i="110"/>
  <c r="M222" i="110"/>
  <c r="M221" i="110"/>
  <c r="L220" i="110"/>
  <c r="W220" i="110" s="1"/>
  <c r="G220" i="110"/>
  <c r="L218" i="110"/>
  <c r="G218" i="110"/>
  <c r="G217" i="110"/>
  <c r="L216" i="110"/>
  <c r="G216" i="110"/>
  <c r="G215" i="110"/>
  <c r="K210" i="110"/>
  <c r="G209" i="110"/>
  <c r="G208" i="110"/>
  <c r="K207" i="110"/>
  <c r="G206" i="110"/>
  <c r="S201" i="110"/>
  <c r="T201" i="110" s="1"/>
  <c r="G201" i="110"/>
  <c r="L199" i="110"/>
  <c r="G198" i="110"/>
  <c r="G363" i="110"/>
  <c r="K197" i="110"/>
  <c r="K196" i="110"/>
  <c r="M194" i="110"/>
  <c r="L193" i="110"/>
  <c r="W193" i="110" s="1"/>
  <c r="S190" i="110"/>
  <c r="T190" i="110" s="1"/>
  <c r="G190" i="110"/>
  <c r="M189" i="110"/>
  <c r="K185" i="110"/>
  <c r="K184" i="110"/>
  <c r="K183" i="110"/>
  <c r="L180" i="110"/>
  <c r="W180" i="110" s="1"/>
  <c r="K178" i="110"/>
  <c r="L175" i="110"/>
  <c r="G175" i="110"/>
  <c r="M174" i="110"/>
  <c r="L173" i="110"/>
  <c r="W173" i="110" s="1"/>
  <c r="M169" i="110"/>
  <c r="S168" i="110"/>
  <c r="T168" i="110" s="1"/>
  <c r="L167" i="110"/>
  <c r="W167" i="110" s="1"/>
  <c r="G167" i="110"/>
  <c r="M166" i="110"/>
  <c r="G360" i="110"/>
  <c r="L164" i="110"/>
  <c r="L163" i="110"/>
  <c r="W163" i="110" s="1"/>
  <c r="L359" i="110"/>
  <c r="L162" i="110"/>
  <c r="G162" i="110"/>
  <c r="M161" i="110"/>
  <c r="S160" i="110"/>
  <c r="T160" i="110" s="1"/>
  <c r="G160" i="110"/>
  <c r="M158" i="110"/>
  <c r="K156" i="110"/>
  <c r="Q155" i="110"/>
  <c r="L154" i="110"/>
  <c r="L150" i="110"/>
  <c r="W150" i="110" s="1"/>
  <c r="K148" i="110"/>
  <c r="L147" i="110"/>
  <c r="G144" i="110"/>
  <c r="G143" i="110"/>
  <c r="K142" i="110"/>
  <c r="K139" i="110"/>
  <c r="M138" i="110"/>
  <c r="L136" i="110"/>
  <c r="W136" i="110" s="1"/>
  <c r="K135" i="110"/>
  <c r="M132" i="110"/>
  <c r="L131" i="110"/>
  <c r="G131" i="110"/>
  <c r="M130" i="110"/>
  <c r="M129" i="110"/>
  <c r="S306" i="110"/>
  <c r="T306" i="110" s="1"/>
  <c r="M128" i="110"/>
  <c r="S127" i="110"/>
  <c r="T127" i="110" s="1"/>
  <c r="G299" i="110"/>
  <c r="S296" i="110"/>
  <c r="T296" i="110" s="1"/>
  <c r="M125" i="110"/>
  <c r="S293" i="110"/>
  <c r="T293" i="110" s="1"/>
  <c r="G293" i="110"/>
  <c r="K122" i="110"/>
  <c r="L121" i="110"/>
  <c r="W121" i="110" s="1"/>
  <c r="G121" i="110"/>
  <c r="L120" i="110"/>
  <c r="K118" i="110"/>
  <c r="M114" i="110"/>
  <c r="M113" i="110"/>
  <c r="M109" i="110"/>
  <c r="M108" i="110"/>
  <c r="S107" i="110"/>
  <c r="T107" i="110" s="1"/>
  <c r="M106" i="110"/>
  <c r="G105" i="110"/>
  <c r="S102" i="110"/>
  <c r="T102" i="110" s="1"/>
  <c r="M99" i="110"/>
  <c r="I30" i="110"/>
  <c r="L357" i="110"/>
  <c r="G355" i="110"/>
  <c r="G354" i="110"/>
  <c r="K351" i="110"/>
  <c r="I23" i="110"/>
  <c r="K97" i="110"/>
  <c r="G344" i="110"/>
  <c r="G341" i="110"/>
  <c r="G340" i="110"/>
  <c r="G332" i="110"/>
  <c r="S329" i="110"/>
  <c r="T329" i="110" s="1"/>
  <c r="M329" i="110"/>
  <c r="S15" i="110"/>
  <c r="T15" i="110" s="1"/>
  <c r="K327" i="110"/>
  <c r="K326" i="110"/>
  <c r="L325" i="110"/>
  <c r="J324" i="110"/>
  <c r="I13" i="110"/>
  <c r="G13" i="110"/>
  <c r="G89" i="110"/>
  <c r="Q448" i="110"/>
  <c r="G440" i="110"/>
  <c r="G439" i="110"/>
  <c r="G431" i="110"/>
  <c r="Q424" i="110"/>
  <c r="S405" i="110"/>
  <c r="T405" i="110" s="1"/>
  <c r="Q400" i="110"/>
  <c r="S399" i="110"/>
  <c r="T399" i="110" s="1"/>
  <c r="S386" i="110"/>
  <c r="T386" i="110" s="1"/>
  <c r="S380" i="110"/>
  <c r="T380" i="110" s="1"/>
  <c r="G379" i="110"/>
  <c r="S377" i="110"/>
  <c r="T377" i="110" s="1"/>
  <c r="G372" i="110"/>
  <c r="L86" i="110"/>
  <c r="W86" i="110" s="1"/>
  <c r="K85" i="110"/>
  <c r="G84" i="110"/>
  <c r="M84" i="110"/>
  <c r="K82" i="110"/>
  <c r="K80" i="110"/>
  <c r="S77" i="110"/>
  <c r="T77" i="110" s="1"/>
  <c r="G75" i="110"/>
  <c r="K75" i="110"/>
  <c r="Q59" i="110"/>
  <c r="M59" i="110"/>
  <c r="G57" i="110"/>
  <c r="S313" i="110"/>
  <c r="T313" i="110" s="1"/>
  <c r="G50" i="110"/>
  <c r="L46" i="110"/>
  <c r="W46" i="110" s="1"/>
  <c r="G46" i="110"/>
  <c r="L45" i="110"/>
  <c r="G680" i="108"/>
  <c r="G677" i="108"/>
  <c r="M675" i="108"/>
  <c r="G675" i="108"/>
  <c r="K847" i="108"/>
  <c r="G841" i="108"/>
  <c r="K834" i="108"/>
  <c r="K832" i="108"/>
  <c r="G828" i="108"/>
  <c r="G811" i="108"/>
  <c r="L811" i="108"/>
  <c r="K806" i="108"/>
  <c r="L781" i="108"/>
  <c r="K105" i="110"/>
  <c r="F474" i="110"/>
  <c r="F480" i="110" s="1"/>
  <c r="G470" i="110"/>
  <c r="T461" i="110"/>
  <c r="G460" i="110"/>
  <c r="K74" i="110"/>
  <c r="L288" i="110"/>
  <c r="W288" i="110" s="1"/>
  <c r="J33" i="110"/>
  <c r="H32" i="110"/>
  <c r="L284" i="110"/>
  <c r="W284" i="110" s="1"/>
  <c r="Q283" i="110"/>
  <c r="M282" i="110"/>
  <c r="S281" i="110"/>
  <c r="T281" i="110" s="1"/>
  <c r="S280" i="110"/>
  <c r="T280" i="110" s="1"/>
  <c r="L280" i="110"/>
  <c r="W280" i="110" s="1"/>
  <c r="G276" i="110"/>
  <c r="G275" i="110"/>
  <c r="M273" i="110"/>
  <c r="K267" i="110"/>
  <c r="M259" i="110"/>
  <c r="G258" i="110"/>
  <c r="K255" i="110"/>
  <c r="L253" i="110"/>
  <c r="L250" i="110"/>
  <c r="W250" i="110" s="1"/>
  <c r="L245" i="110"/>
  <c r="L244" i="110"/>
  <c r="K242" i="110"/>
  <c r="M236" i="110"/>
  <c r="G473" i="110"/>
  <c r="G466" i="110"/>
  <c r="G464" i="110"/>
  <c r="G462" i="110"/>
  <c r="Q290" i="110"/>
  <c r="M290" i="110"/>
  <c r="G290" i="110"/>
  <c r="Q289" i="110"/>
  <c r="K288" i="110"/>
  <c r="M286" i="110"/>
  <c r="S285" i="110"/>
  <c r="T285" i="110" s="1"/>
  <c r="G308" i="110"/>
  <c r="K284" i="110"/>
  <c r="K281" i="110"/>
  <c r="K280" i="110"/>
  <c r="Q279" i="110"/>
  <c r="G278" i="110"/>
  <c r="K276" i="110"/>
  <c r="K275" i="110"/>
  <c r="G273" i="110"/>
  <c r="G272" i="110"/>
  <c r="L270" i="110"/>
  <c r="L269" i="110"/>
  <c r="S268" i="110"/>
  <c r="T268" i="110" s="1"/>
  <c r="K268" i="110"/>
  <c r="K266" i="110"/>
  <c r="S264" i="110"/>
  <c r="T264" i="110" s="1"/>
  <c r="K264" i="110"/>
  <c r="K262" i="110"/>
  <c r="G261" i="110"/>
  <c r="L259" i="110"/>
  <c r="G259" i="110"/>
  <c r="G256" i="110"/>
  <c r="K254" i="110"/>
  <c r="K253" i="110"/>
  <c r="K252" i="110"/>
  <c r="K251" i="110"/>
  <c r="K250" i="110"/>
  <c r="L249" i="110"/>
  <c r="W249" i="110" s="1"/>
  <c r="M248" i="110"/>
  <c r="S247" i="110"/>
  <c r="T247" i="110" s="1"/>
  <c r="K245" i="110"/>
  <c r="K244" i="110"/>
  <c r="M240" i="110"/>
  <c r="M239" i="110"/>
  <c r="S238" i="110"/>
  <c r="T238" i="110" s="1"/>
  <c r="L236" i="110"/>
  <c r="W236" i="110" s="1"/>
  <c r="K234" i="110"/>
  <c r="M233" i="110"/>
  <c r="S232" i="110"/>
  <c r="T232" i="110" s="1"/>
  <c r="L230" i="110"/>
  <c r="W230" i="110" s="1"/>
  <c r="G230" i="110"/>
  <c r="K228" i="110"/>
  <c r="S224" i="110"/>
  <c r="T224" i="110" s="1"/>
  <c r="G224" i="110"/>
  <c r="L223" i="110"/>
  <c r="W223" i="110" s="1"/>
  <c r="G223" i="110"/>
  <c r="L222" i="110"/>
  <c r="W222" i="110" s="1"/>
  <c r="G222" i="110"/>
  <c r="G221" i="110"/>
  <c r="K220" i="110"/>
  <c r="M219" i="110"/>
  <c r="K218" i="110"/>
  <c r="K217" i="110"/>
  <c r="K216" i="110"/>
  <c r="K215" i="110"/>
  <c r="M214" i="110"/>
  <c r="M213" i="110"/>
  <c r="S212" i="110"/>
  <c r="T212" i="110" s="1"/>
  <c r="M212" i="110"/>
  <c r="M211" i="110"/>
  <c r="K209" i="110"/>
  <c r="K208" i="110"/>
  <c r="K206" i="110"/>
  <c r="M203" i="110"/>
  <c r="S202" i="110"/>
  <c r="T202" i="110" s="1"/>
  <c r="L201" i="110"/>
  <c r="S200" i="110"/>
  <c r="T200" i="110" s="1"/>
  <c r="G200" i="110"/>
  <c r="K199" i="110"/>
  <c r="S194" i="110"/>
  <c r="T194" i="110" s="1"/>
  <c r="S193" i="110"/>
  <c r="T193" i="110" s="1"/>
  <c r="K193" i="110"/>
  <c r="G192" i="110"/>
  <c r="L190" i="110"/>
  <c r="W189" i="110"/>
  <c r="G189" i="110"/>
  <c r="G188" i="110"/>
  <c r="M187" i="110"/>
  <c r="G182" i="110"/>
  <c r="M181" i="110"/>
  <c r="G181" i="110"/>
  <c r="K180" i="110"/>
  <c r="Q179" i="110"/>
  <c r="G179" i="110"/>
  <c r="G177" i="110"/>
  <c r="K175" i="110"/>
  <c r="G174" i="110"/>
  <c r="M172" i="110"/>
  <c r="M171" i="110"/>
  <c r="M170" i="110"/>
  <c r="G169" i="110"/>
  <c r="K167" i="110"/>
  <c r="L166" i="110"/>
  <c r="M165" i="110"/>
  <c r="K164" i="110"/>
  <c r="K163" i="110"/>
  <c r="K359" i="110"/>
  <c r="K162" i="110"/>
  <c r="G161" i="110"/>
  <c r="L160" i="110"/>
  <c r="S159" i="110"/>
  <c r="T159" i="110" s="1"/>
  <c r="L158" i="110"/>
  <c r="W158" i="110" s="1"/>
  <c r="G158" i="110"/>
  <c r="L157" i="110"/>
  <c r="K154" i="110"/>
  <c r="M153" i="110"/>
  <c r="K150" i="110"/>
  <c r="M149" i="110"/>
  <c r="S148" i="110"/>
  <c r="T148" i="110" s="1"/>
  <c r="K147" i="110"/>
  <c r="M146" i="110"/>
  <c r="M145" i="110"/>
  <c r="S144" i="110"/>
  <c r="T144" i="110" s="1"/>
  <c r="L138" i="110"/>
  <c r="G138" i="110"/>
  <c r="G137" i="110"/>
  <c r="K136" i="110"/>
  <c r="Q133" i="110"/>
  <c r="L132" i="110"/>
  <c r="W132" i="110" s="1"/>
  <c r="G132" i="110"/>
  <c r="K131" i="110"/>
  <c r="G130" i="110"/>
  <c r="L129" i="110"/>
  <c r="S305" i="110"/>
  <c r="T305" i="110" s="1"/>
  <c r="L128" i="110"/>
  <c r="W128" i="110" s="1"/>
  <c r="G303" i="110"/>
  <c r="G300" i="110"/>
  <c r="M126" i="110"/>
  <c r="S295" i="110"/>
  <c r="T295" i="110" s="1"/>
  <c r="G295" i="110"/>
  <c r="L125" i="110"/>
  <c r="W125" i="110" s="1"/>
  <c r="G294" i="110"/>
  <c r="Q293" i="110"/>
  <c r="M293" i="110" s="1"/>
  <c r="Q292" i="110"/>
  <c r="N292" i="110" s="1"/>
  <c r="S124" i="110"/>
  <c r="T124" i="110" s="1"/>
  <c r="L124" i="110"/>
  <c r="W124" i="110" s="1"/>
  <c r="G124" i="110"/>
  <c r="K121" i="110"/>
  <c r="K120" i="110"/>
  <c r="M117" i="110"/>
  <c r="S116" i="110"/>
  <c r="T116" i="110" s="1"/>
  <c r="M116" i="110"/>
  <c r="S114" i="110"/>
  <c r="T114" i="110" s="1"/>
  <c r="L113" i="110"/>
  <c r="W113" i="110" s="1"/>
  <c r="M112" i="110"/>
  <c r="S111" i="110"/>
  <c r="T111" i="110" s="1"/>
  <c r="M111" i="110"/>
  <c r="S110" i="110"/>
  <c r="T110" i="110" s="1"/>
  <c r="L108" i="110"/>
  <c r="G108" i="110"/>
  <c r="Q107" i="110"/>
  <c r="L107" i="110"/>
  <c r="L106" i="110"/>
  <c r="W106" i="110" s="1"/>
  <c r="G104" i="110"/>
  <c r="M101" i="110"/>
  <c r="Q100" i="110"/>
  <c r="L99" i="110"/>
  <c r="G99" i="110"/>
  <c r="G31" i="110"/>
  <c r="H30" i="110"/>
  <c r="I29" i="110"/>
  <c r="G29" i="110"/>
  <c r="J28" i="110"/>
  <c r="G28" i="110"/>
  <c r="H28" i="110"/>
  <c r="G26" i="110"/>
  <c r="K357" i="110"/>
  <c r="H356" i="110"/>
  <c r="J356" i="110"/>
  <c r="S356" i="110"/>
  <c r="T356" i="110" s="1"/>
  <c r="J352" i="110"/>
  <c r="K352" i="110"/>
  <c r="J351" i="110"/>
  <c r="G350" i="110"/>
  <c r="H23" i="110"/>
  <c r="M348" i="110"/>
  <c r="K347" i="110"/>
  <c r="H344" i="110"/>
  <c r="L344" i="110"/>
  <c r="W344" i="110" s="1"/>
  <c r="L94" i="110"/>
  <c r="H22" i="110"/>
  <c r="Q22" i="110"/>
  <c r="S342" i="110"/>
  <c r="T342" i="110" s="1"/>
  <c r="K342" i="110"/>
  <c r="K341" i="110"/>
  <c r="K338" i="110"/>
  <c r="I337" i="110"/>
  <c r="W337" i="110" s="1"/>
  <c r="M337" i="110"/>
  <c r="Q337" i="110"/>
  <c r="L93" i="110"/>
  <c r="H334" i="110"/>
  <c r="L334" i="110"/>
  <c r="I17" i="110"/>
  <c r="S332" i="110"/>
  <c r="T332" i="110" s="1"/>
  <c r="M332" i="110"/>
  <c r="H332" i="110"/>
  <c r="Q329" i="110"/>
  <c r="K329" i="110"/>
  <c r="G329" i="110"/>
  <c r="I327" i="110"/>
  <c r="W327" i="110" s="1"/>
  <c r="G327" i="110"/>
  <c r="S326" i="110"/>
  <c r="T326" i="110" s="1"/>
  <c r="G326" i="110"/>
  <c r="J325" i="110"/>
  <c r="K324" i="110"/>
  <c r="G322" i="110"/>
  <c r="H13" i="110"/>
  <c r="G319" i="110"/>
  <c r="L318" i="110"/>
  <c r="S446" i="110"/>
  <c r="T446" i="110" s="1"/>
  <c r="G445" i="110"/>
  <c r="S441" i="110"/>
  <c r="T441" i="110" s="1"/>
  <c r="S440" i="110"/>
  <c r="T440" i="110" s="1"/>
  <c r="G416" i="110"/>
  <c r="S415" i="110"/>
  <c r="T415" i="110" s="1"/>
  <c r="S407" i="110"/>
  <c r="T407" i="110" s="1"/>
  <c r="S404" i="110"/>
  <c r="T404" i="110" s="1"/>
  <c r="Q403" i="110"/>
  <c r="S400" i="110"/>
  <c r="T400" i="110" s="1"/>
  <c r="S387" i="110"/>
  <c r="T387" i="110" s="1"/>
  <c r="S376" i="110"/>
  <c r="T376" i="110" s="1"/>
  <c r="G374" i="110"/>
  <c r="S88" i="110"/>
  <c r="T88" i="110" s="1"/>
  <c r="M86" i="110"/>
  <c r="G11" i="110"/>
  <c r="S78" i="110"/>
  <c r="T78" i="110" s="1"/>
  <c r="L75" i="110"/>
  <c r="W75" i="110" s="1"/>
  <c r="G71" i="110"/>
  <c r="K70" i="110"/>
  <c r="G68" i="110"/>
  <c r="L67" i="110"/>
  <c r="W67" i="110" s="1"/>
  <c r="M64" i="110"/>
  <c r="G64" i="110"/>
  <c r="G62" i="110"/>
  <c r="K53" i="110"/>
  <c r="Q52" i="110"/>
  <c r="Q312" i="110"/>
  <c r="L50" i="110"/>
  <c r="W50" i="110" s="1"/>
  <c r="M47" i="110"/>
  <c r="K46" i="110"/>
  <c r="M45" i="110"/>
  <c r="L42" i="110"/>
  <c r="W42" i="110" s="1"/>
  <c r="S41" i="110"/>
  <c r="T41" i="110" s="1"/>
  <c r="L40" i="110"/>
  <c r="W40" i="110" s="1"/>
  <c r="S39" i="110"/>
  <c r="T39" i="110" s="1"/>
  <c r="L39" i="110"/>
  <c r="W39" i="110" s="1"/>
  <c r="S37" i="110"/>
  <c r="T37" i="110" s="1"/>
  <c r="L37" i="110"/>
  <c r="W37" i="110" s="1"/>
  <c r="H10" i="110"/>
  <c r="K677" i="108"/>
  <c r="L802" i="108"/>
  <c r="L778" i="108"/>
  <c r="L776" i="108"/>
  <c r="B14" i="109"/>
  <c r="G468" i="110"/>
  <c r="G467" i="110"/>
  <c r="G463" i="110"/>
  <c r="G74" i="110"/>
  <c r="S286" i="110"/>
  <c r="T286" i="110" s="1"/>
  <c r="G274" i="110"/>
  <c r="Q271" i="110"/>
  <c r="G265" i="110"/>
  <c r="S242" i="110"/>
  <c r="T242" i="110" s="1"/>
  <c r="G233" i="110"/>
  <c r="G219" i="110"/>
  <c r="Q213" i="110"/>
  <c r="G212" i="110"/>
  <c r="G211" i="110"/>
  <c r="G205" i="110"/>
  <c r="G203" i="110"/>
  <c r="S196" i="110"/>
  <c r="T196" i="110" s="1"/>
  <c r="S362" i="110"/>
  <c r="T362" i="110" s="1"/>
  <c r="L362" i="110"/>
  <c r="Q195" i="110"/>
  <c r="G361" i="110"/>
  <c r="G187" i="110"/>
  <c r="W184" i="110"/>
  <c r="G172" i="110"/>
  <c r="G171" i="110"/>
  <c r="G170" i="110"/>
  <c r="J359" i="110"/>
  <c r="G156" i="110"/>
  <c r="G155" i="110"/>
  <c r="G146" i="110"/>
  <c r="G145" i="110"/>
  <c r="S141" i="110"/>
  <c r="T141" i="110" s="1"/>
  <c r="S140" i="110"/>
  <c r="T140" i="110" s="1"/>
  <c r="S134" i="110"/>
  <c r="T134" i="110" s="1"/>
  <c r="G302" i="110"/>
  <c r="G296" i="110"/>
  <c r="G126" i="110"/>
  <c r="S125" i="110"/>
  <c r="T125" i="110" s="1"/>
  <c r="W122" i="110"/>
  <c r="G116" i="110"/>
  <c r="Q115" i="110"/>
  <c r="G114" i="110"/>
  <c r="G111" i="110"/>
  <c r="G102" i="110"/>
  <c r="G101" i="110"/>
  <c r="M98" i="110"/>
  <c r="G98" i="110"/>
  <c r="K98" i="110"/>
  <c r="I28" i="110"/>
  <c r="I27" i="110"/>
  <c r="S26" i="110"/>
  <c r="T26" i="110" s="1"/>
  <c r="S357" i="110"/>
  <c r="T357" i="110" s="1"/>
  <c r="I357" i="110"/>
  <c r="G357" i="110"/>
  <c r="G351" i="110"/>
  <c r="H350" i="110"/>
  <c r="M350" i="110"/>
  <c r="J24" i="110"/>
  <c r="G24" i="110"/>
  <c r="H24" i="110"/>
  <c r="Q348" i="110"/>
  <c r="L348" i="110"/>
  <c r="S95" i="110"/>
  <c r="T95" i="110" s="1"/>
  <c r="J342" i="110"/>
  <c r="J338" i="110"/>
  <c r="G338" i="110"/>
  <c r="J336" i="110"/>
  <c r="S336" i="110"/>
  <c r="T336" i="110" s="1"/>
  <c r="S18" i="110"/>
  <c r="T18" i="110" s="1"/>
  <c r="J17" i="110"/>
  <c r="J332" i="110"/>
  <c r="J329" i="110"/>
  <c r="K328" i="110"/>
  <c r="S327" i="110"/>
  <c r="T327" i="110" s="1"/>
  <c r="M327" i="110"/>
  <c r="H327" i="110"/>
  <c r="S325" i="110"/>
  <c r="T325" i="110" s="1"/>
  <c r="I325" i="110"/>
  <c r="S324" i="110"/>
  <c r="T324" i="110" s="1"/>
  <c r="I324" i="110"/>
  <c r="G90" i="110"/>
  <c r="K321" i="110"/>
  <c r="K320" i="110"/>
  <c r="G12" i="110"/>
  <c r="H12" i="110"/>
  <c r="S448" i="110"/>
  <c r="T448" i="110" s="1"/>
  <c r="Q446" i="110"/>
  <c r="S442" i="110"/>
  <c r="T442" i="110" s="1"/>
  <c r="G438" i="110"/>
  <c r="G433" i="110"/>
  <c r="S426" i="110"/>
  <c r="T426" i="110" s="1"/>
  <c r="S419" i="110"/>
  <c r="T419" i="110" s="1"/>
  <c r="G419" i="110"/>
  <c r="Q415" i="110"/>
  <c r="G413" i="110"/>
  <c r="G410" i="110"/>
  <c r="Q407" i="110"/>
  <c r="S393" i="110"/>
  <c r="T393" i="110" s="1"/>
  <c r="G387" i="110"/>
  <c r="S385" i="110"/>
  <c r="T385" i="110" s="1"/>
  <c r="Q384" i="110"/>
  <c r="S384" i="110"/>
  <c r="T384" i="110" s="1"/>
  <c r="G373" i="110"/>
  <c r="S370" i="110"/>
  <c r="T370" i="110" s="1"/>
  <c r="M88" i="110"/>
  <c r="S83" i="110"/>
  <c r="T83" i="110" s="1"/>
  <c r="Q83" i="110"/>
  <c r="G79" i="110"/>
  <c r="L76" i="110"/>
  <c r="L72" i="110"/>
  <c r="W72" i="110" s="1"/>
  <c r="G61" i="110"/>
  <c r="S55" i="110"/>
  <c r="T55" i="110" s="1"/>
  <c r="L55" i="110"/>
  <c r="K312" i="110"/>
  <c r="G48" i="110"/>
  <c r="K48" i="110"/>
  <c r="M39" i="110"/>
  <c r="L803" i="108"/>
  <c r="K801" i="108"/>
  <c r="L775" i="108"/>
  <c r="G755" i="108"/>
  <c r="G745" i="108"/>
  <c r="K741" i="108"/>
  <c r="G731" i="108"/>
  <c r="M731" i="108"/>
  <c r="G710" i="108"/>
  <c r="K710" i="108"/>
  <c r="G699" i="108"/>
  <c r="M696" i="108"/>
  <c r="M689" i="108"/>
  <c r="G854" i="108"/>
  <c r="G844" i="108"/>
  <c r="G840" i="108"/>
  <c r="G833" i="108"/>
  <c r="G830" i="108"/>
  <c r="G824" i="108"/>
  <c r="G817" i="108"/>
  <c r="G814" i="108"/>
  <c r="L777" i="108"/>
  <c r="K755" i="108"/>
  <c r="K753" i="108"/>
  <c r="M751" i="108"/>
  <c r="K745" i="108"/>
  <c r="L743" i="108"/>
  <c r="G735" i="108"/>
  <c r="M729" i="108"/>
  <c r="K723" i="108"/>
  <c r="M722" i="108"/>
  <c r="N722" i="108" s="1"/>
  <c r="G722" i="108"/>
  <c r="G718" i="108"/>
  <c r="M711" i="108"/>
  <c r="G711" i="108"/>
  <c r="L701" i="108"/>
  <c r="K699" i="108"/>
  <c r="G691" i="108"/>
  <c r="K686" i="108"/>
  <c r="G347" i="110"/>
  <c r="G343" i="110"/>
  <c r="G17" i="110"/>
  <c r="G324" i="110"/>
  <c r="G429" i="110"/>
  <c r="S423" i="110"/>
  <c r="T423" i="110" s="1"/>
  <c r="S420" i="110"/>
  <c r="T420" i="110" s="1"/>
  <c r="S417" i="110"/>
  <c r="T417" i="110" s="1"/>
  <c r="G397" i="110"/>
  <c r="G392" i="110"/>
  <c r="S372" i="110"/>
  <c r="T372" i="110" s="1"/>
  <c r="G315" i="110"/>
  <c r="Q75" i="110"/>
  <c r="Q63" i="110"/>
  <c r="Q314" i="110"/>
  <c r="L314" i="110"/>
  <c r="H314" i="110"/>
  <c r="S311" i="110"/>
  <c r="T311" i="110" s="1"/>
  <c r="L311" i="110"/>
  <c r="H311" i="110"/>
  <c r="L309" i="110"/>
  <c r="H309" i="110"/>
  <c r="S46" i="110"/>
  <c r="T46" i="110" s="1"/>
  <c r="G45" i="110"/>
  <c r="Q38" i="110"/>
  <c r="G858" i="108"/>
  <c r="G855" i="108"/>
  <c r="N855" i="108"/>
  <c r="M676" i="108"/>
  <c r="L854" i="108"/>
  <c r="G853" i="108"/>
  <c r="L844" i="108"/>
  <c r="G843" i="108"/>
  <c r="L840" i="108"/>
  <c r="G839" i="108"/>
  <c r="G836" i="108"/>
  <c r="K833" i="108"/>
  <c r="L830" i="108"/>
  <c r="G829" i="108"/>
  <c r="G827" i="108"/>
  <c r="L824" i="108"/>
  <c r="G823" i="108"/>
  <c r="G820" i="108"/>
  <c r="K817" i="108"/>
  <c r="L814" i="108"/>
  <c r="G813" i="108"/>
  <c r="K811" i="108"/>
  <c r="K807" i="108"/>
  <c r="K803" i="108"/>
  <c r="L782" i="108"/>
  <c r="L767" i="108"/>
  <c r="L765" i="108"/>
  <c r="N765" i="108" s="1"/>
  <c r="L763" i="108"/>
  <c r="L757" i="108"/>
  <c r="L754" i="108"/>
  <c r="K752" i="108"/>
  <c r="K744" i="108"/>
  <c r="K743" i="108"/>
  <c r="M742" i="108"/>
  <c r="G742" i="108"/>
  <c r="N742" i="108" s="1"/>
  <c r="K742" i="108"/>
  <c r="K739" i="108"/>
  <c r="G737" i="108"/>
  <c r="L737" i="108"/>
  <c r="K736" i="108"/>
  <c r="G734" i="108"/>
  <c r="K731" i="108"/>
  <c r="G730" i="108"/>
  <c r="G721" i="108"/>
  <c r="K718" i="108"/>
  <c r="L716" i="108"/>
  <c r="M710" i="108"/>
  <c r="M707" i="108"/>
  <c r="L698" i="108"/>
  <c r="G696" i="108"/>
  <c r="K696" i="108"/>
  <c r="L691" i="108"/>
  <c r="M690" i="108"/>
  <c r="K684" i="108"/>
  <c r="G427" i="110"/>
  <c r="G412" i="110"/>
  <c r="G404" i="110"/>
  <c r="G398" i="110"/>
  <c r="G396" i="110"/>
  <c r="G370" i="110"/>
  <c r="G310" i="110"/>
  <c r="G49" i="110"/>
  <c r="G50" i="108"/>
  <c r="N50" i="108" s="1"/>
  <c r="G857" i="108"/>
  <c r="G851" i="108"/>
  <c r="G846" i="108"/>
  <c r="G826" i="108"/>
  <c r="G14" i="108"/>
  <c r="L792" i="108"/>
  <c r="L791" i="108"/>
  <c r="L787" i="108"/>
  <c r="N787" i="108" s="1"/>
  <c r="L779" i="108"/>
  <c r="L768" i="108"/>
  <c r="M754" i="108"/>
  <c r="M752" i="108"/>
  <c r="K750" i="108"/>
  <c r="G741" i="108"/>
  <c r="L739" i="108"/>
  <c r="K737" i="108"/>
  <c r="K735" i="108"/>
  <c r="G733" i="108"/>
  <c r="K729" i="108"/>
  <c r="M728" i="108"/>
  <c r="G723" i="108"/>
  <c r="K715" i="108"/>
  <c r="L704" i="108"/>
  <c r="L693" i="108"/>
  <c r="K727" i="108"/>
  <c r="K721" i="108"/>
  <c r="K719" i="108"/>
  <c r="K716" i="108"/>
  <c r="G692" i="108"/>
  <c r="K674" i="108"/>
  <c r="L625" i="108"/>
  <c r="L536" i="108"/>
  <c r="K528" i="108"/>
  <c r="G523" i="108"/>
  <c r="K523" i="108"/>
  <c r="L522" i="108"/>
  <c r="M520" i="108"/>
  <c r="L517" i="108"/>
  <c r="G501" i="108"/>
  <c r="K499" i="108"/>
  <c r="K495" i="108"/>
  <c r="K493" i="108"/>
  <c r="G485" i="108"/>
  <c r="K483" i="108"/>
  <c r="N483" i="108" s="1"/>
  <c r="G481" i="108"/>
  <c r="K470" i="108"/>
  <c r="G469" i="108"/>
  <c r="L694" i="108"/>
  <c r="K689" i="108"/>
  <c r="M674" i="108"/>
  <c r="L667" i="108"/>
  <c r="L540" i="108"/>
  <c r="L526" i="108"/>
  <c r="M524" i="108"/>
  <c r="M511" i="108"/>
  <c r="K506" i="108"/>
  <c r="K503" i="108"/>
  <c r="G492" i="108"/>
  <c r="G488" i="108"/>
  <c r="K754" i="108"/>
  <c r="N754" i="108" s="1"/>
  <c r="M748" i="108"/>
  <c r="G739" i="108"/>
  <c r="M733" i="108"/>
  <c r="K733" i="108"/>
  <c r="G727" i="108"/>
  <c r="M725" i="108"/>
  <c r="G719" i="108"/>
  <c r="G690" i="108"/>
  <c r="G688" i="108"/>
  <c r="L681" i="108"/>
  <c r="L544" i="108"/>
  <c r="K532" i="108"/>
  <c r="G527" i="108"/>
  <c r="K527" i="108"/>
  <c r="L521" i="108"/>
  <c r="L518" i="108"/>
  <c r="M516" i="108"/>
  <c r="G513" i="108"/>
  <c r="G509" i="108"/>
  <c r="G496" i="108"/>
  <c r="M493" i="108"/>
  <c r="K492" i="108"/>
  <c r="L488" i="108"/>
  <c r="M477" i="108"/>
  <c r="G473" i="108"/>
  <c r="L529" i="108"/>
  <c r="L525" i="108"/>
  <c r="G519" i="108"/>
  <c r="N519" i="108" s="1"/>
  <c r="K519" i="108"/>
  <c r="K511" i="108"/>
  <c r="G504" i="108"/>
  <c r="G493" i="108"/>
  <c r="L479" i="108"/>
  <c r="G477" i="108"/>
  <c r="G729" i="108"/>
  <c r="G725" i="108"/>
  <c r="N725" i="108" s="1"/>
  <c r="G521" i="108"/>
  <c r="G505" i="108"/>
  <c r="G474" i="108"/>
  <c r="K468" i="108"/>
  <c r="L456" i="108"/>
  <c r="K437" i="108"/>
  <c r="L413" i="108"/>
  <c r="L396" i="108"/>
  <c r="L389" i="108"/>
  <c r="M381" i="108"/>
  <c r="M373" i="108"/>
  <c r="L434" i="108"/>
  <c r="L432" i="108"/>
  <c r="L426" i="108"/>
  <c r="L424" i="108"/>
  <c r="L423" i="108"/>
  <c r="L402" i="108"/>
  <c r="L400" i="108"/>
  <c r="L391" i="108"/>
  <c r="G376" i="108"/>
  <c r="L373" i="108"/>
  <c r="M372" i="108"/>
  <c r="M361" i="108"/>
  <c r="L359" i="108"/>
  <c r="G360" i="108"/>
  <c r="G525" i="108"/>
  <c r="G517" i="108"/>
  <c r="G463" i="108"/>
  <c r="K462" i="108"/>
  <c r="K460" i="108"/>
  <c r="G455" i="108"/>
  <c r="G453" i="108"/>
  <c r="L448" i="108"/>
  <c r="G445" i="108"/>
  <c r="K435" i="108"/>
  <c r="K433" i="108"/>
  <c r="L429" i="108"/>
  <c r="L418" i="108"/>
  <c r="L390" i="108"/>
  <c r="G379" i="108"/>
  <c r="G378" i="108"/>
  <c r="K376" i="108"/>
  <c r="G364" i="108"/>
  <c r="M362" i="108"/>
  <c r="L361" i="108"/>
  <c r="M357" i="108"/>
  <c r="K354" i="108"/>
  <c r="K454" i="108"/>
  <c r="K452" i="108"/>
  <c r="L450" i="108"/>
  <c r="L443" i="108"/>
  <c r="L440" i="108"/>
  <c r="M438" i="108"/>
  <c r="L433" i="108"/>
  <c r="K430" i="108"/>
  <c r="L428" i="108"/>
  <c r="L427" i="108"/>
  <c r="L422" i="108"/>
  <c r="L415" i="108"/>
  <c r="L412" i="108"/>
  <c r="M393" i="108"/>
  <c r="L384" i="108"/>
  <c r="M375" i="108"/>
  <c r="G374" i="108"/>
  <c r="K365" i="108"/>
  <c r="K358" i="108"/>
  <c r="M335" i="108"/>
  <c r="G334" i="108"/>
  <c r="L334" i="108"/>
  <c r="M327" i="108"/>
  <c r="G326" i="108"/>
  <c r="L326" i="108"/>
  <c r="G324" i="108"/>
  <c r="L324" i="108"/>
  <c r="G322" i="108"/>
  <c r="L322" i="108"/>
  <c r="G320" i="108"/>
  <c r="K317" i="108"/>
  <c r="L298" i="108"/>
  <c r="K293" i="108"/>
  <c r="L288" i="108"/>
  <c r="M286" i="108"/>
  <c r="L277" i="108"/>
  <c r="L431" i="108"/>
  <c r="K393" i="108"/>
  <c r="G389" i="108"/>
  <c r="L382" i="108"/>
  <c r="G12" i="108"/>
  <c r="L377" i="108"/>
  <c r="G356" i="108"/>
  <c r="G351" i="108"/>
  <c r="N351" i="108" s="1"/>
  <c r="G346" i="108"/>
  <c r="G345" i="108"/>
  <c r="K344" i="108"/>
  <c r="M339" i="108"/>
  <c r="K339" i="108"/>
  <c r="K338" i="108"/>
  <c r="L336" i="108"/>
  <c r="G336" i="108"/>
  <c r="M334" i="108"/>
  <c r="M331" i="108"/>
  <c r="K331" i="108"/>
  <c r="K330" i="108"/>
  <c r="N330" i="108" s="1"/>
  <c r="L328" i="108"/>
  <c r="G328" i="108"/>
  <c r="M326" i="108"/>
  <c r="M324" i="108"/>
  <c r="M322" i="108"/>
  <c r="K320" i="108"/>
  <c r="L317" i="108"/>
  <c r="L313" i="108"/>
  <c r="L304" i="108"/>
  <c r="L301" i="108"/>
  <c r="M291" i="108"/>
  <c r="K289" i="108"/>
  <c r="G287" i="108"/>
  <c r="L287" i="108"/>
  <c r="K285" i="108"/>
  <c r="G284" i="108"/>
  <c r="L284" i="108"/>
  <c r="L275" i="108"/>
  <c r="G273" i="108"/>
  <c r="K273" i="108"/>
  <c r="G272" i="108"/>
  <c r="K272" i="108"/>
  <c r="K271" i="108"/>
  <c r="M266" i="108"/>
  <c r="L320" i="108"/>
  <c r="G308" i="108"/>
  <c r="G307" i="108"/>
  <c r="K282" i="108"/>
  <c r="M265" i="108"/>
  <c r="G265" i="108"/>
  <c r="L256" i="108"/>
  <c r="G338" i="108"/>
  <c r="G330" i="108"/>
  <c r="L318" i="108"/>
  <c r="L296" i="108"/>
  <c r="K294" i="108"/>
  <c r="K288" i="108"/>
  <c r="M287" i="108"/>
  <c r="K279" i="108"/>
  <c r="M262" i="108"/>
  <c r="M261" i="108"/>
  <c r="K259" i="108"/>
  <c r="L250" i="108"/>
  <c r="K240" i="108"/>
  <c r="K230" i="108"/>
  <c r="M219" i="108"/>
  <c r="L216" i="108"/>
  <c r="G213" i="108"/>
  <c r="K212" i="108"/>
  <c r="K208" i="108"/>
  <c r="K199" i="108"/>
  <c r="G179" i="108"/>
  <c r="G178" i="108"/>
  <c r="G175" i="108"/>
  <c r="K277" i="108"/>
  <c r="K275" i="108"/>
  <c r="L266" i="108"/>
  <c r="L262" i="108"/>
  <c r="G256" i="108"/>
  <c r="M247" i="108"/>
  <c r="L246" i="108"/>
  <c r="M242" i="108"/>
  <c r="K232" i="108"/>
  <c r="G231" i="108"/>
  <c r="K224" i="108"/>
  <c r="K223" i="108"/>
  <c r="K222" i="108"/>
  <c r="K213" i="108"/>
  <c r="L206" i="108"/>
  <c r="K203" i="108"/>
  <c r="K187" i="108"/>
  <c r="G183" i="108"/>
  <c r="L181" i="108"/>
  <c r="G181" i="108"/>
  <c r="M179" i="108"/>
  <c r="K178" i="108"/>
  <c r="K175" i="108"/>
  <c r="G174" i="108"/>
  <c r="L147" i="108"/>
  <c r="K146" i="108"/>
  <c r="G144" i="108"/>
  <c r="K144" i="108"/>
  <c r="G286" i="108"/>
  <c r="K284" i="108"/>
  <c r="K283" i="108"/>
  <c r="K280" i="108"/>
  <c r="L270" i="108"/>
  <c r="L267" i="108"/>
  <c r="M264" i="108"/>
  <c r="G258" i="108"/>
  <c r="K256" i="108"/>
  <c r="M252" i="108"/>
  <c r="L247" i="108"/>
  <c r="G247" i="108"/>
  <c r="K246" i="108"/>
  <c r="G245" i="108"/>
  <c r="G233" i="108"/>
  <c r="K231" i="108"/>
  <c r="G230" i="108"/>
  <c r="N230" i="108" s="1"/>
  <c r="K227" i="108"/>
  <c r="K225" i="108"/>
  <c r="L223" i="108"/>
  <c r="K220" i="108"/>
  <c r="M217" i="108"/>
  <c r="G209" i="108"/>
  <c r="M207" i="108"/>
  <c r="L203" i="108"/>
  <c r="K191" i="108"/>
  <c r="L187" i="108"/>
  <c r="K183" i="108"/>
  <c r="G182" i="108"/>
  <c r="M174" i="108"/>
  <c r="G161" i="108"/>
  <c r="M139" i="108"/>
  <c r="G10" i="108"/>
  <c r="G289" i="108"/>
  <c r="K287" i="108"/>
  <c r="L286" i="108"/>
  <c r="G285" i="108"/>
  <c r="L281" i="108"/>
  <c r="M280" i="108"/>
  <c r="K278" i="108"/>
  <c r="K276" i="108"/>
  <c r="K274" i="108"/>
  <c r="M273" i="108"/>
  <c r="M272" i="108"/>
  <c r="M270" i="108"/>
  <c r="M267" i="108"/>
  <c r="G264" i="108"/>
  <c r="K263" i="108"/>
  <c r="K261" i="108"/>
  <c r="G252" i="108"/>
  <c r="K247" i="108"/>
  <c r="G244" i="108"/>
  <c r="K239" i="108"/>
  <c r="K237" i="108"/>
  <c r="K236" i="108"/>
  <c r="K228" i="108"/>
  <c r="M227" i="108"/>
  <c r="M225" i="108"/>
  <c r="M220" i="108"/>
  <c r="K219" i="108"/>
  <c r="M218" i="108"/>
  <c r="G217" i="108"/>
  <c r="K214" i="108"/>
  <c r="K211" i="108"/>
  <c r="M204" i="108"/>
  <c r="K195" i="108"/>
  <c r="G193" i="108"/>
  <c r="L191" i="108"/>
  <c r="M190" i="108"/>
  <c r="M188" i="108"/>
  <c r="L148" i="108"/>
  <c r="K145" i="108"/>
  <c r="G142" i="108"/>
  <c r="K142" i="108"/>
  <c r="M141" i="108"/>
  <c r="G239" i="108"/>
  <c r="G234" i="108"/>
  <c r="G227" i="108"/>
  <c r="K147" i="108"/>
  <c r="L112" i="108"/>
  <c r="G110" i="108"/>
  <c r="L110" i="108"/>
  <c r="G103" i="108"/>
  <c r="K94" i="108"/>
  <c r="G91" i="108"/>
  <c r="N91" i="108" s="1"/>
  <c r="K90" i="108"/>
  <c r="L85" i="108"/>
  <c r="G82" i="108"/>
  <c r="G80" i="108"/>
  <c r="N80" i="108" s="1"/>
  <c r="K80" i="108"/>
  <c r="L45" i="108"/>
  <c r="G44" i="108"/>
  <c r="G31" i="108"/>
  <c r="N31" i="108" s="1"/>
  <c r="K27" i="108"/>
  <c r="M23" i="108"/>
  <c r="M109" i="108"/>
  <c r="K108" i="108"/>
  <c r="G99" i="108"/>
  <c r="M97" i="108"/>
  <c r="G96" i="108"/>
  <c r="L89" i="108"/>
  <c r="N89" i="108" s="1"/>
  <c r="K41" i="108"/>
  <c r="G36" i="108"/>
  <c r="L33" i="108"/>
  <c r="K104" i="108"/>
  <c r="M102" i="108"/>
  <c r="L98" i="108"/>
  <c r="G93" i="108"/>
  <c r="K93" i="108"/>
  <c r="G84" i="108"/>
  <c r="G81" i="108"/>
  <c r="G61" i="108"/>
  <c r="N61" i="108"/>
  <c r="L43" i="108"/>
  <c r="G42" i="108"/>
  <c r="M28" i="108"/>
  <c r="M22" i="108"/>
  <c r="K114" i="108"/>
  <c r="K107" i="108"/>
  <c r="M105" i="108"/>
  <c r="L104" i="108"/>
  <c r="G97" i="108"/>
  <c r="G95" i="108"/>
  <c r="L94" i="108"/>
  <c r="L93" i="108"/>
  <c r="M91" i="108"/>
  <c r="L88" i="108"/>
  <c r="G88" i="108"/>
  <c r="G87" i="108"/>
  <c r="K86" i="108"/>
  <c r="K84" i="108"/>
  <c r="K83" i="108"/>
  <c r="K81" i="108"/>
  <c r="N81" i="108" s="1"/>
  <c r="G78" i="108"/>
  <c r="N78" i="108" s="1"/>
  <c r="G67" i="108"/>
  <c r="G59" i="108"/>
  <c r="N59" i="108" s="1"/>
  <c r="T49" i="108"/>
  <c r="Y49" i="108"/>
  <c r="L42" i="108"/>
  <c r="G40" i="108"/>
  <c r="L35" i="108"/>
  <c r="G34" i="108"/>
  <c r="G102" i="108"/>
  <c r="G89" i="108"/>
  <c r="G85" i="108"/>
  <c r="T69" i="108"/>
  <c r="X69" i="108"/>
  <c r="L17" i="108"/>
  <c r="G17" i="108"/>
  <c r="N17" i="108" s="1"/>
  <c r="L15" i="108"/>
  <c r="G15" i="108"/>
  <c r="G28" i="108"/>
  <c r="K47" i="108"/>
  <c r="N47" i="108" s="1"/>
  <c r="G46" i="108"/>
  <c r="M124" i="110"/>
  <c r="E474" i="110"/>
  <c r="E480" i="110" s="1"/>
  <c r="G471" i="110"/>
  <c r="Q468" i="110"/>
  <c r="G453" i="110"/>
  <c r="S288" i="110"/>
  <c r="T288" i="110" s="1"/>
  <c r="G288" i="110"/>
  <c r="Q34" i="110"/>
  <c r="G34" i="110"/>
  <c r="G286" i="110"/>
  <c r="S283" i="110"/>
  <c r="T283" i="110" s="1"/>
  <c r="S282" i="110"/>
  <c r="T282" i="110" s="1"/>
  <c r="G282" i="110"/>
  <c r="S271" i="110"/>
  <c r="T271" i="110" s="1"/>
  <c r="G271" i="110"/>
  <c r="S270" i="110"/>
  <c r="T270" i="110" s="1"/>
  <c r="G270" i="110"/>
  <c r="S267" i="110"/>
  <c r="T267" i="110" s="1"/>
  <c r="G267" i="110"/>
  <c r="S265" i="110"/>
  <c r="T265" i="110" s="1"/>
  <c r="S263" i="110"/>
  <c r="T263" i="110" s="1"/>
  <c r="G263" i="110"/>
  <c r="S261" i="110"/>
  <c r="T261" i="110" s="1"/>
  <c r="S253" i="110"/>
  <c r="T253" i="110" s="1"/>
  <c r="G253" i="110"/>
  <c r="S251" i="110"/>
  <c r="T251" i="110" s="1"/>
  <c r="S249" i="110"/>
  <c r="T249" i="110" s="1"/>
  <c r="G248" i="110"/>
  <c r="S246" i="110"/>
  <c r="T246" i="110" s="1"/>
  <c r="G246" i="110"/>
  <c r="G245" i="110"/>
  <c r="S244" i="110"/>
  <c r="T244" i="110" s="1"/>
  <c r="G244" i="110"/>
  <c r="Q243" i="110"/>
  <c r="G243" i="110"/>
  <c r="Q242" i="110"/>
  <c r="S240" i="110"/>
  <c r="T240" i="110" s="1"/>
  <c r="G240" i="110"/>
  <c r="Q239" i="110"/>
  <c r="G239" i="110"/>
  <c r="Q238" i="110"/>
  <c r="G238" i="110"/>
  <c r="S237" i="110"/>
  <c r="T237" i="110" s="1"/>
  <c r="G237" i="110"/>
  <c r="G236" i="110"/>
  <c r="S231" i="110"/>
  <c r="T231" i="110" s="1"/>
  <c r="G225" i="110"/>
  <c r="Q219" i="110"/>
  <c r="S218" i="110"/>
  <c r="T218" i="110" s="1"/>
  <c r="G214" i="110"/>
  <c r="S213" i="110"/>
  <c r="T213" i="110" s="1"/>
  <c r="G213" i="110"/>
  <c r="S206" i="110"/>
  <c r="T206" i="110" s="1"/>
  <c r="S198" i="110"/>
  <c r="T198" i="110" s="1"/>
  <c r="M363" i="110"/>
  <c r="I363" i="110"/>
  <c r="K362" i="110"/>
  <c r="S195" i="110"/>
  <c r="T195" i="110" s="1"/>
  <c r="G195" i="110"/>
  <c r="G194" i="110"/>
  <c r="S361" i="110"/>
  <c r="T361" i="110" s="1"/>
  <c r="M361" i="110"/>
  <c r="I361" i="110"/>
  <c r="S181" i="110"/>
  <c r="T181" i="110" s="1"/>
  <c r="S178" i="110"/>
  <c r="T178" i="110" s="1"/>
  <c r="G168" i="110"/>
  <c r="Q167" i="110"/>
  <c r="G166" i="110"/>
  <c r="M360" i="110"/>
  <c r="I360" i="110"/>
  <c r="G165" i="110"/>
  <c r="G163" i="110"/>
  <c r="G359" i="110"/>
  <c r="Q161" i="110"/>
  <c r="S153" i="110"/>
  <c r="T153" i="110" s="1"/>
  <c r="G153" i="110"/>
  <c r="G150" i="110"/>
  <c r="Q149" i="110"/>
  <c r="G149" i="110"/>
  <c r="S139" i="110"/>
  <c r="T139" i="110" s="1"/>
  <c r="G136" i="110"/>
  <c r="Q135" i="110"/>
  <c r="G129" i="110"/>
  <c r="G307" i="110"/>
  <c r="G128" i="110"/>
  <c r="G127" i="110"/>
  <c r="S301" i="110"/>
  <c r="T301" i="110" s="1"/>
  <c r="G301" i="110"/>
  <c r="S297" i="110"/>
  <c r="T297" i="110" s="1"/>
  <c r="G297" i="110"/>
  <c r="S294" i="110"/>
  <c r="T294" i="110" s="1"/>
  <c r="S292" i="110"/>
  <c r="T292" i="110" s="1"/>
  <c r="G292" i="110"/>
  <c r="Q124" i="110"/>
  <c r="S117" i="110"/>
  <c r="T117" i="110" s="1"/>
  <c r="G117" i="110"/>
  <c r="Q116" i="110"/>
  <c r="G113" i="110"/>
  <c r="S112" i="110"/>
  <c r="T112" i="110" s="1"/>
  <c r="G112" i="110"/>
  <c r="S109" i="110"/>
  <c r="T109" i="110" s="1"/>
  <c r="G109" i="110"/>
  <c r="Q108" i="110"/>
  <c r="G106" i="110"/>
  <c r="Q103" i="110"/>
  <c r="G103" i="110"/>
  <c r="G358" i="110"/>
  <c r="S30" i="110"/>
  <c r="T30" i="110" s="1"/>
  <c r="G30" i="110"/>
  <c r="G27" i="110"/>
  <c r="Q25" i="110"/>
  <c r="G25" i="110"/>
  <c r="J354" i="110"/>
  <c r="L352" i="110"/>
  <c r="H352" i="110"/>
  <c r="G348" i="110"/>
  <c r="I347" i="110"/>
  <c r="M347" i="110"/>
  <c r="M96" i="110"/>
  <c r="S346" i="110"/>
  <c r="T346" i="110" s="1"/>
  <c r="K346" i="110"/>
  <c r="L345" i="110"/>
  <c r="G94" i="110"/>
  <c r="S343" i="110"/>
  <c r="T343" i="110" s="1"/>
  <c r="J343" i="110"/>
  <c r="I21" i="110"/>
  <c r="G21" i="110"/>
  <c r="J340" i="110"/>
  <c r="H20" i="110"/>
  <c r="K334" i="110"/>
  <c r="I19" i="110"/>
  <c r="W19" i="110" s="1"/>
  <c r="G19" i="110"/>
  <c r="J18" i="110"/>
  <c r="S17" i="110"/>
  <c r="T17" i="110" s="1"/>
  <c r="J331" i="110"/>
  <c r="S328" i="110"/>
  <c r="T328" i="110" s="1"/>
  <c r="L328" i="110"/>
  <c r="G328" i="110"/>
  <c r="M326" i="110"/>
  <c r="G325" i="110"/>
  <c r="Q14" i="110"/>
  <c r="H323" i="110"/>
  <c r="L323" i="110"/>
  <c r="J322" i="110"/>
  <c r="L321" i="110"/>
  <c r="G321" i="110"/>
  <c r="L320" i="110"/>
  <c r="G320" i="110"/>
  <c r="S317" i="110"/>
  <c r="T317" i="110" s="1"/>
  <c r="J317" i="110"/>
  <c r="I316" i="110"/>
  <c r="M316" i="110"/>
  <c r="S316" i="110"/>
  <c r="T316" i="110" s="1"/>
  <c r="G448" i="110"/>
  <c r="G444" i="110"/>
  <c r="Q443" i="110"/>
  <c r="G435" i="110"/>
  <c r="G428" i="110"/>
  <c r="S428" i="110"/>
  <c r="T428" i="110" s="1"/>
  <c r="S425" i="110"/>
  <c r="T425" i="110" s="1"/>
  <c r="Q419" i="110"/>
  <c r="G415" i="110"/>
  <c r="G411" i="110"/>
  <c r="S408" i="110"/>
  <c r="T408" i="110" s="1"/>
  <c r="S406" i="110"/>
  <c r="T406" i="110" s="1"/>
  <c r="G405" i="110"/>
  <c r="G403" i="110"/>
  <c r="S403" i="110"/>
  <c r="T403" i="110" s="1"/>
  <c r="G402" i="110"/>
  <c r="S397" i="110"/>
  <c r="T397" i="110" s="1"/>
  <c r="G391" i="110"/>
  <c r="S390" i="110"/>
  <c r="T390" i="110" s="1"/>
  <c r="S388" i="110"/>
  <c r="T388" i="110" s="1"/>
  <c r="S383" i="110"/>
  <c r="T383" i="110" s="1"/>
  <c r="G383" i="110"/>
  <c r="Q379" i="110"/>
  <c r="G88" i="110"/>
  <c r="S86" i="110"/>
  <c r="T86" i="110" s="1"/>
  <c r="L85" i="110"/>
  <c r="G85" i="110"/>
  <c r="J315" i="110"/>
  <c r="L81" i="110"/>
  <c r="W81" i="110" s="1"/>
  <c r="G81" i="110"/>
  <c r="S72" i="110"/>
  <c r="T72" i="110" s="1"/>
  <c r="L70" i="110"/>
  <c r="W70" i="110" s="1"/>
  <c r="G70" i="110"/>
  <c r="Q69" i="110"/>
  <c r="K68" i="110"/>
  <c r="S68" i="110"/>
  <c r="T68" i="110" s="1"/>
  <c r="M67" i="110"/>
  <c r="L66" i="110"/>
  <c r="G66" i="110"/>
  <c r="M60" i="110"/>
  <c r="Q54" i="110"/>
  <c r="G53" i="110"/>
  <c r="L51" i="110"/>
  <c r="W51" i="110" s="1"/>
  <c r="G51" i="110"/>
  <c r="G314" i="110"/>
  <c r="Q313" i="110"/>
  <c r="J313" i="110"/>
  <c r="S50" i="110"/>
  <c r="T50" i="110" s="1"/>
  <c r="S43" i="110"/>
  <c r="T43" i="110" s="1"/>
  <c r="K42" i="110"/>
  <c r="Q42" i="110"/>
  <c r="G40" i="110"/>
  <c r="S36" i="110"/>
  <c r="T36" i="110" s="1"/>
  <c r="G850" i="108"/>
  <c r="G679" i="108"/>
  <c r="N679" i="108"/>
  <c r="K853" i="108"/>
  <c r="M848" i="108"/>
  <c r="K843" i="108"/>
  <c r="K839" i="108"/>
  <c r="K829" i="108"/>
  <c r="K823" i="108"/>
  <c r="K813" i="108"/>
  <c r="G808" i="108"/>
  <c r="G802" i="108"/>
  <c r="G799" i="108"/>
  <c r="G790" i="108"/>
  <c r="K789" i="108"/>
  <c r="G787" i="108"/>
  <c r="G785" i="108"/>
  <c r="G783" i="108"/>
  <c r="G781" i="108"/>
  <c r="G779" i="108"/>
  <c r="G777" i="108"/>
  <c r="G775" i="108"/>
  <c r="G773" i="108"/>
  <c r="G771" i="108"/>
  <c r="G769" i="108"/>
  <c r="G767" i="108"/>
  <c r="G750" i="108"/>
  <c r="G748" i="108"/>
  <c r="D474" i="110"/>
  <c r="D480" i="110" s="1"/>
  <c r="G368" i="110"/>
  <c r="K290" i="110"/>
  <c r="G289" i="110"/>
  <c r="H33" i="110"/>
  <c r="S32" i="110"/>
  <c r="T32" i="110" s="1"/>
  <c r="S287" i="110"/>
  <c r="T287" i="110" s="1"/>
  <c r="S275" i="110"/>
  <c r="T275" i="110" s="1"/>
  <c r="G269" i="110"/>
  <c r="G266" i="110"/>
  <c r="S260" i="110"/>
  <c r="T260" i="110" s="1"/>
  <c r="S259" i="110"/>
  <c r="T259" i="110" s="1"/>
  <c r="G255" i="110"/>
  <c r="Q251" i="110"/>
  <c r="S233" i="110"/>
  <c r="T233" i="110" s="1"/>
  <c r="Q231" i="110"/>
  <c r="S229" i="110"/>
  <c r="T229" i="110" s="1"/>
  <c r="S228" i="110"/>
  <c r="T228" i="110" s="1"/>
  <c r="G210" i="110"/>
  <c r="G207" i="110"/>
  <c r="Q198" i="110"/>
  <c r="S363" i="110"/>
  <c r="T363" i="110" s="1"/>
  <c r="L363" i="110"/>
  <c r="H363" i="110"/>
  <c r="K181" i="110"/>
  <c r="G157" i="110"/>
  <c r="G147" i="110"/>
  <c r="S146" i="110"/>
  <c r="T146" i="110" s="1"/>
  <c r="L143" i="110"/>
  <c r="Q139" i="110"/>
  <c r="S138" i="110"/>
  <c r="T138" i="110" s="1"/>
  <c r="L137" i="110"/>
  <c r="G306" i="110"/>
  <c r="S122" i="110"/>
  <c r="T122" i="110" s="1"/>
  <c r="S121" i="110"/>
  <c r="T121" i="110" s="1"/>
  <c r="G110" i="110"/>
  <c r="I26" i="110"/>
  <c r="W26" i="110" s="1"/>
  <c r="G96" i="110"/>
  <c r="J346" i="110"/>
  <c r="H340" i="110"/>
  <c r="G337" i="110"/>
  <c r="G93" i="110"/>
  <c r="I334" i="110"/>
  <c r="G92" i="110"/>
  <c r="W92" i="110"/>
  <c r="G333" i="110"/>
  <c r="H333" i="110"/>
  <c r="L333" i="110"/>
  <c r="Q333" i="110"/>
  <c r="G18" i="110"/>
  <c r="S331" i="110"/>
  <c r="T331" i="110" s="1"/>
  <c r="H331" i="110"/>
  <c r="I328" i="110"/>
  <c r="M328" i="110"/>
  <c r="H326" i="110"/>
  <c r="L326" i="110"/>
  <c r="G14" i="110"/>
  <c r="I322" i="110"/>
  <c r="I321" i="110"/>
  <c r="M321" i="110"/>
  <c r="S321" i="110"/>
  <c r="T321" i="110" s="1"/>
  <c r="I320" i="110"/>
  <c r="M320" i="110"/>
  <c r="S320" i="110"/>
  <c r="T320" i="110" s="1"/>
  <c r="G318" i="110"/>
  <c r="I317" i="110"/>
  <c r="G447" i="110"/>
  <c r="S445" i="110"/>
  <c r="T445" i="110" s="1"/>
  <c r="G443" i="110"/>
  <c r="G441" i="110"/>
  <c r="G437" i="110"/>
  <c r="G434" i="110"/>
  <c r="G432" i="110"/>
  <c r="G430" i="110"/>
  <c r="G426" i="110"/>
  <c r="Q422" i="110"/>
  <c r="G418" i="110"/>
  <c r="S416" i="110"/>
  <c r="T416" i="110" s="1"/>
  <c r="G414" i="110"/>
  <c r="G408" i="110"/>
  <c r="Q408" i="110"/>
  <c r="G400" i="110"/>
  <c r="Q396" i="110"/>
  <c r="S394" i="110"/>
  <c r="T394" i="110" s="1"/>
  <c r="G393" i="110"/>
  <c r="G389" i="110"/>
  <c r="Q388" i="110"/>
  <c r="G384" i="110"/>
  <c r="G378" i="110"/>
  <c r="S375" i="110"/>
  <c r="T375" i="110" s="1"/>
  <c r="S374" i="110"/>
  <c r="T374" i="110" s="1"/>
  <c r="G87" i="110"/>
  <c r="Q86" i="110"/>
  <c r="S85" i="110"/>
  <c r="T85" i="110" s="1"/>
  <c r="I315" i="110"/>
  <c r="Q82" i="110"/>
  <c r="S81" i="110"/>
  <c r="T81" i="110" s="1"/>
  <c r="G80" i="110"/>
  <c r="G78" i="110"/>
  <c r="S70" i="110"/>
  <c r="T70" i="110" s="1"/>
  <c r="G67" i="110"/>
  <c r="G60" i="110"/>
  <c r="G58" i="110"/>
  <c r="G56" i="110"/>
  <c r="G55" i="110"/>
  <c r="H313" i="110"/>
  <c r="G312" i="110"/>
  <c r="G309" i="110"/>
  <c r="Q50" i="110"/>
  <c r="S47" i="110"/>
  <c r="T47" i="110" s="1"/>
  <c r="S45" i="110"/>
  <c r="T45" i="110" s="1"/>
  <c r="G39" i="110"/>
  <c r="G37" i="110"/>
  <c r="W10" i="110"/>
  <c r="G10" i="110"/>
  <c r="G340" i="108"/>
  <c r="G54" i="108"/>
  <c r="N54" i="108"/>
  <c r="G848" i="108"/>
  <c r="G837" i="108"/>
  <c r="G831" i="108"/>
  <c r="G821" i="108"/>
  <c r="G815" i="108"/>
  <c r="K802" i="108"/>
  <c r="M800" i="108"/>
  <c r="K799" i="108"/>
  <c r="G797" i="108"/>
  <c r="G795" i="108"/>
  <c r="G793" i="108"/>
  <c r="M791" i="108"/>
  <c r="K790" i="108"/>
  <c r="M788" i="108"/>
  <c r="K787" i="108"/>
  <c r="M786" i="108"/>
  <c r="K785" i="108"/>
  <c r="M784" i="108"/>
  <c r="K783" i="108"/>
  <c r="M782" i="108"/>
  <c r="K781" i="108"/>
  <c r="M780" i="108"/>
  <c r="K779" i="108"/>
  <c r="M778" i="108"/>
  <c r="K777" i="108"/>
  <c r="M776" i="108"/>
  <c r="K775" i="108"/>
  <c r="M774" i="108"/>
  <c r="K773" i="108"/>
  <c r="M772" i="108"/>
  <c r="K771" i="108"/>
  <c r="M770" i="108"/>
  <c r="K769" i="108"/>
  <c r="M768" i="108"/>
  <c r="K767" i="108"/>
  <c r="G765" i="108"/>
  <c r="G762" i="108"/>
  <c r="G760" i="108"/>
  <c r="G758" i="108"/>
  <c r="G753" i="108"/>
  <c r="G751" i="108"/>
  <c r="L750" i="108"/>
  <c r="L748" i="108"/>
  <c r="L747" i="108"/>
  <c r="G743" i="108"/>
  <c r="I35" i="110"/>
  <c r="K153" i="110"/>
  <c r="G35" i="110"/>
  <c r="G283" i="110"/>
  <c r="G268" i="110"/>
  <c r="G264" i="110"/>
  <c r="G250" i="110"/>
  <c r="G247" i="110"/>
  <c r="G241" i="110"/>
  <c r="G232" i="110"/>
  <c r="L224" i="110"/>
  <c r="W224" i="110" s="1"/>
  <c r="S221" i="110"/>
  <c r="T221" i="110" s="1"/>
  <c r="Q218" i="110"/>
  <c r="S217" i="110"/>
  <c r="T217" i="110" s="1"/>
  <c r="S215" i="110"/>
  <c r="T215" i="110" s="1"/>
  <c r="S211" i="110"/>
  <c r="T211" i="110" s="1"/>
  <c r="W210" i="110"/>
  <c r="S209" i="110"/>
  <c r="T209" i="110" s="1"/>
  <c r="S208" i="110"/>
  <c r="T208" i="110" s="1"/>
  <c r="Q206" i="110"/>
  <c r="G199" i="110"/>
  <c r="Q361" i="110"/>
  <c r="L361" i="110"/>
  <c r="H361" i="110"/>
  <c r="S187" i="110"/>
  <c r="T187" i="110" s="1"/>
  <c r="S183" i="110"/>
  <c r="T183" i="110" s="1"/>
  <c r="S172" i="110"/>
  <c r="T172" i="110" s="1"/>
  <c r="S171" i="110"/>
  <c r="T171" i="110" s="1"/>
  <c r="S170" i="110"/>
  <c r="T170" i="110" s="1"/>
  <c r="L360" i="110"/>
  <c r="H360" i="110"/>
  <c r="G154" i="110"/>
  <c r="G148" i="110"/>
  <c r="S145" i="110"/>
  <c r="T145" i="110" s="1"/>
  <c r="G140" i="110"/>
  <c r="S131" i="110"/>
  <c r="T131" i="110" s="1"/>
  <c r="S130" i="110"/>
  <c r="T130" i="110" s="1"/>
  <c r="G305" i="110"/>
  <c r="S304" i="110"/>
  <c r="T304" i="110" s="1"/>
  <c r="S303" i="110"/>
  <c r="T303" i="110" s="1"/>
  <c r="G125" i="110"/>
  <c r="G123" i="110"/>
  <c r="G120" i="110"/>
  <c r="G118" i="110"/>
  <c r="L114" i="110"/>
  <c r="W114" i="110" s="1"/>
  <c r="G107" i="110"/>
  <c r="L100" i="110"/>
  <c r="M354" i="110"/>
  <c r="I354" i="110"/>
  <c r="I345" i="110"/>
  <c r="M345" i="110"/>
  <c r="S345" i="110"/>
  <c r="T345" i="110" s="1"/>
  <c r="H343" i="110"/>
  <c r="G458" i="110"/>
  <c r="G456" i="110"/>
  <c r="S290" i="110"/>
  <c r="T290" i="110" s="1"/>
  <c r="Q286" i="110"/>
  <c r="Q275" i="110"/>
  <c r="S273" i="110"/>
  <c r="T273" i="110" s="1"/>
  <c r="Q259" i="110"/>
  <c r="S257" i="110"/>
  <c r="T257" i="110" s="1"/>
  <c r="S234" i="110"/>
  <c r="T234" i="110" s="1"/>
  <c r="S230" i="110"/>
  <c r="T230" i="110" s="1"/>
  <c r="S223" i="110"/>
  <c r="T223" i="110" s="1"/>
  <c r="S222" i="110"/>
  <c r="T222" i="110" s="1"/>
  <c r="Q221" i="110"/>
  <c r="S216" i="110"/>
  <c r="T216" i="110" s="1"/>
  <c r="Q215" i="110"/>
  <c r="Q214" i="110"/>
  <c r="Q211" i="110"/>
  <c r="Q363" i="110"/>
  <c r="K363" i="110"/>
  <c r="M362" i="110"/>
  <c r="K361" i="110"/>
  <c r="Q187" i="110"/>
  <c r="S185" i="110"/>
  <c r="T185" i="110" s="1"/>
  <c r="S184" i="110"/>
  <c r="T184" i="110" s="1"/>
  <c r="Q183" i="110"/>
  <c r="S175" i="110"/>
  <c r="T175" i="110" s="1"/>
  <c r="S174" i="110"/>
  <c r="T174" i="110" s="1"/>
  <c r="Q171" i="110"/>
  <c r="Q170" i="110"/>
  <c r="S360" i="110"/>
  <c r="T360" i="110" s="1"/>
  <c r="K360" i="110"/>
  <c r="Q163" i="110"/>
  <c r="M359" i="110"/>
  <c r="S158" i="110"/>
  <c r="T158" i="110" s="1"/>
  <c r="Q146" i="110"/>
  <c r="S143" i="110"/>
  <c r="T143" i="110" s="1"/>
  <c r="S142" i="110"/>
  <c r="T142" i="110" s="1"/>
  <c r="S137" i="110"/>
  <c r="T137" i="110" s="1"/>
  <c r="S133" i="110"/>
  <c r="T133" i="110" s="1"/>
  <c r="S132" i="110"/>
  <c r="T132" i="110" s="1"/>
  <c r="Q130" i="110"/>
  <c r="Q303" i="110"/>
  <c r="Q127" i="110"/>
  <c r="S299" i="110"/>
  <c r="T299" i="110" s="1"/>
  <c r="S126" i="110"/>
  <c r="T126" i="110" s="1"/>
  <c r="Q294" i="110"/>
  <c r="M294" i="110" s="1"/>
  <c r="S101" i="110"/>
  <c r="T101" i="110" s="1"/>
  <c r="S99" i="110"/>
  <c r="T99" i="110" s="1"/>
  <c r="S31" i="110"/>
  <c r="T31" i="110" s="1"/>
  <c r="S28" i="110"/>
  <c r="T28" i="110" s="1"/>
  <c r="Q356" i="110"/>
  <c r="L356" i="110"/>
  <c r="S355" i="110"/>
  <c r="T355" i="110" s="1"/>
  <c r="M355" i="110"/>
  <c r="S354" i="110"/>
  <c r="T354" i="110" s="1"/>
  <c r="L354" i="110"/>
  <c r="Q353" i="110"/>
  <c r="L353" i="110"/>
  <c r="S352" i="110"/>
  <c r="T352" i="110" s="1"/>
  <c r="L351" i="110"/>
  <c r="W351" i="110" s="1"/>
  <c r="S350" i="110"/>
  <c r="T350" i="110" s="1"/>
  <c r="L350" i="110"/>
  <c r="S97" i="110"/>
  <c r="T97" i="110" s="1"/>
  <c r="S349" i="110"/>
  <c r="T349" i="110" s="1"/>
  <c r="M349" i="110"/>
  <c r="S348" i="110"/>
  <c r="T348" i="110" s="1"/>
  <c r="I348" i="110"/>
  <c r="S347" i="110"/>
  <c r="T347" i="110" s="1"/>
  <c r="J347" i="110"/>
  <c r="K96" i="110"/>
  <c r="Q345" i="110"/>
  <c r="J345" i="110"/>
  <c r="G95" i="110"/>
  <c r="G22" i="110"/>
  <c r="L343" i="110"/>
  <c r="G342" i="110"/>
  <c r="I342" i="110"/>
  <c r="M342" i="110"/>
  <c r="S21" i="110"/>
  <c r="T21" i="110" s="1"/>
  <c r="L340" i="110"/>
  <c r="S20" i="110"/>
  <c r="T20" i="110" s="1"/>
  <c r="I338" i="110"/>
  <c r="M338" i="110"/>
  <c r="S335" i="110"/>
  <c r="T335" i="110" s="1"/>
  <c r="G335" i="110"/>
  <c r="M334" i="110"/>
  <c r="Q92" i="110"/>
  <c r="K333" i="110"/>
  <c r="H18" i="110"/>
  <c r="Q18" i="110"/>
  <c r="L331" i="110"/>
  <c r="G331" i="110"/>
  <c r="I330" i="110"/>
  <c r="M330" i="110"/>
  <c r="S330" i="110"/>
  <c r="T330" i="110" s="1"/>
  <c r="J328" i="110"/>
  <c r="G15" i="110"/>
  <c r="Q326" i="110"/>
  <c r="J326" i="110"/>
  <c r="I323" i="110"/>
  <c r="Q322" i="110"/>
  <c r="M322" i="110"/>
  <c r="Q90" i="110"/>
  <c r="Q321" i="110"/>
  <c r="J321" i="110"/>
  <c r="S89" i="110"/>
  <c r="T89" i="110" s="1"/>
  <c r="Q320" i="110"/>
  <c r="J320" i="110"/>
  <c r="K318" i="110"/>
  <c r="M317" i="110"/>
  <c r="G317" i="110"/>
  <c r="H316" i="110"/>
  <c r="S12" i="110"/>
  <c r="T12" i="110" s="1"/>
  <c r="G446" i="110"/>
  <c r="G442" i="110"/>
  <c r="Q440" i="110"/>
  <c r="S439" i="110"/>
  <c r="T439" i="110" s="1"/>
  <c r="G436" i="110"/>
  <c r="S432" i="110"/>
  <c r="T432" i="110" s="1"/>
  <c r="Q431" i="110"/>
  <c r="Q430" i="110"/>
  <c r="S429" i="110"/>
  <c r="T429" i="110" s="1"/>
  <c r="G424" i="110"/>
  <c r="Q423" i="110"/>
  <c r="S422" i="110"/>
  <c r="T422" i="110" s="1"/>
  <c r="G420" i="110"/>
  <c r="Q420" i="110"/>
  <c r="S418" i="110"/>
  <c r="T418" i="110" s="1"/>
  <c r="G417" i="110"/>
  <c r="Q416" i="110"/>
  <c r="S414" i="110"/>
  <c r="T414" i="110" s="1"/>
  <c r="Q411" i="110"/>
  <c r="S410" i="110"/>
  <c r="T410" i="110" s="1"/>
  <c r="G409" i="110"/>
  <c r="S409" i="110"/>
  <c r="T409" i="110" s="1"/>
  <c r="S402" i="110"/>
  <c r="T402" i="110" s="1"/>
  <c r="G401" i="110"/>
  <c r="S401" i="110"/>
  <c r="T401" i="110" s="1"/>
  <c r="G399" i="110"/>
  <c r="S398" i="110"/>
  <c r="T398" i="110" s="1"/>
  <c r="S396" i="110"/>
  <c r="T396" i="110" s="1"/>
  <c r="G395" i="110"/>
  <c r="G394" i="110"/>
  <c r="Q391" i="110"/>
  <c r="G388" i="110"/>
  <c r="Q387" i="110"/>
  <c r="G386" i="110"/>
  <c r="G385" i="110"/>
  <c r="G382" i="110"/>
  <c r="G381" i="110"/>
  <c r="S379" i="110"/>
  <c r="T379" i="110" s="1"/>
  <c r="S378" i="110"/>
  <c r="T378" i="110" s="1"/>
  <c r="G377" i="110"/>
  <c r="G376" i="110"/>
  <c r="Q375" i="110"/>
  <c r="S371" i="110"/>
  <c r="T371" i="110" s="1"/>
  <c r="G86" i="110"/>
  <c r="G83" i="110"/>
  <c r="M315" i="110"/>
  <c r="L82" i="110"/>
  <c r="W82" i="110" s="1"/>
  <c r="G82" i="110"/>
  <c r="G76" i="110"/>
  <c r="G72" i="110"/>
  <c r="Q71" i="110"/>
  <c r="G69" i="110"/>
  <c r="K67" i="110"/>
  <c r="Q67" i="110"/>
  <c r="L65" i="110"/>
  <c r="W65" i="110" s="1"/>
  <c r="G65" i="110"/>
  <c r="S63" i="110"/>
  <c r="T63" i="110" s="1"/>
  <c r="G63" i="110"/>
  <c r="K60" i="110"/>
  <c r="S59" i="110"/>
  <c r="T59" i="110" s="1"/>
  <c r="G59" i="110"/>
  <c r="L54" i="110"/>
  <c r="W54" i="110" s="1"/>
  <c r="G54" i="110"/>
  <c r="S51" i="110"/>
  <c r="T51" i="110" s="1"/>
  <c r="L313" i="110"/>
  <c r="G313" i="110"/>
  <c r="G311" i="110"/>
  <c r="H310" i="110"/>
  <c r="L310" i="110"/>
  <c r="Q47" i="110"/>
  <c r="G47" i="110"/>
  <c r="Q46" i="110"/>
  <c r="Q43" i="110"/>
  <c r="S42" i="110"/>
  <c r="T42" i="110" s="1"/>
  <c r="S40" i="110"/>
  <c r="T40" i="110" s="1"/>
  <c r="G38" i="110"/>
  <c r="G36" i="110"/>
  <c r="G678" i="108"/>
  <c r="G51" i="108"/>
  <c r="N51" i="108" s="1"/>
  <c r="G24" i="108"/>
  <c r="G676" i="108"/>
  <c r="G75" i="108"/>
  <c r="N75" i="108" s="1"/>
  <c r="K848" i="108"/>
  <c r="K837" i="108"/>
  <c r="G835" i="108"/>
  <c r="N835" i="108" s="1"/>
  <c r="K831" i="108"/>
  <c r="G825" i="108"/>
  <c r="K821" i="108"/>
  <c r="G819" i="108"/>
  <c r="N819" i="108" s="1"/>
  <c r="K815" i="108"/>
  <c r="G810" i="108"/>
  <c r="G807" i="108"/>
  <c r="G805" i="108"/>
  <c r="N805" i="108" s="1"/>
  <c r="G803" i="108"/>
  <c r="M801" i="108"/>
  <c r="G800" i="108"/>
  <c r="M798" i="108"/>
  <c r="N798" i="108" s="1"/>
  <c r="K797" i="108"/>
  <c r="M796" i="108"/>
  <c r="K795" i="108"/>
  <c r="M794" i="108"/>
  <c r="K793" i="108"/>
  <c r="M792" i="108"/>
  <c r="G791" i="108"/>
  <c r="M789" i="108"/>
  <c r="N789" i="108" s="1"/>
  <c r="G788" i="108"/>
  <c r="G786" i="108"/>
  <c r="G784" i="108"/>
  <c r="G782" i="108"/>
  <c r="G780" i="108"/>
  <c r="G778" i="108"/>
  <c r="G776" i="108"/>
  <c r="G774" i="108"/>
  <c r="N774" i="108" s="1"/>
  <c r="G772" i="108"/>
  <c r="G770" i="108"/>
  <c r="G768" i="108"/>
  <c r="M766" i="108"/>
  <c r="N766" i="108" s="1"/>
  <c r="K765" i="108"/>
  <c r="M764" i="108"/>
  <c r="M763" i="108"/>
  <c r="K762" i="108"/>
  <c r="M761" i="108"/>
  <c r="K760" i="108"/>
  <c r="M759" i="108"/>
  <c r="K758" i="108"/>
  <c r="M757" i="108"/>
  <c r="L753" i="108"/>
  <c r="L751" i="108"/>
  <c r="G749" i="108"/>
  <c r="L746" i="108"/>
  <c r="M743" i="108"/>
  <c r="H346" i="110"/>
  <c r="L346" i="110"/>
  <c r="I343" i="110"/>
  <c r="M343" i="110"/>
  <c r="I340" i="110"/>
  <c r="M340" i="110"/>
  <c r="Q340" i="110"/>
  <c r="G20" i="110"/>
  <c r="G336" i="110"/>
  <c r="J334" i="110"/>
  <c r="I331" i="110"/>
  <c r="M331" i="110"/>
  <c r="G16" i="110"/>
  <c r="H322" i="110"/>
  <c r="L322" i="110"/>
  <c r="S322" i="110"/>
  <c r="T322" i="110" s="1"/>
  <c r="H317" i="110"/>
  <c r="L317" i="110"/>
  <c r="Q317" i="110"/>
  <c r="G423" i="110"/>
  <c r="S421" i="110"/>
  <c r="T421" i="110" s="1"/>
  <c r="S412" i="110"/>
  <c r="T412" i="110" s="1"/>
  <c r="S373" i="110"/>
  <c r="T373" i="110" s="1"/>
  <c r="G371" i="110"/>
  <c r="H315" i="110"/>
  <c r="L315" i="110"/>
  <c r="S315" i="110"/>
  <c r="T315" i="110" s="1"/>
  <c r="S82" i="110"/>
  <c r="T82" i="110" s="1"/>
  <c r="S65" i="110"/>
  <c r="T65" i="110" s="1"/>
  <c r="S54" i="110"/>
  <c r="T54" i="110" s="1"/>
  <c r="I313" i="110"/>
  <c r="M313" i="110"/>
  <c r="G43" i="110"/>
  <c r="G42" i="110"/>
  <c r="G801" i="108"/>
  <c r="G798" i="108"/>
  <c r="G796" i="108"/>
  <c r="G794" i="108"/>
  <c r="G792" i="108"/>
  <c r="G789" i="108"/>
  <c r="G766" i="108"/>
  <c r="G764" i="108"/>
  <c r="N764" i="108" s="1"/>
  <c r="G763" i="108"/>
  <c r="G761" i="108"/>
  <c r="G759" i="108"/>
  <c r="G757" i="108"/>
  <c r="N757" i="108" s="1"/>
  <c r="G752" i="108"/>
  <c r="G744" i="108"/>
  <c r="G713" i="108"/>
  <c r="G709" i="108"/>
  <c r="N709" i="108" s="1"/>
  <c r="G708" i="108"/>
  <c r="G705" i="108"/>
  <c r="G697" i="108"/>
  <c r="K697" i="108"/>
  <c r="N697" i="108" s="1"/>
  <c r="M672" i="108"/>
  <c r="M668" i="108"/>
  <c r="M635" i="108"/>
  <c r="M631" i="108"/>
  <c r="N631" i="108" s="1"/>
  <c r="M605" i="108"/>
  <c r="M601" i="108"/>
  <c r="M597" i="108"/>
  <c r="N19" i="123"/>
  <c r="BF19" i="123" s="1"/>
  <c r="M20" i="123"/>
  <c r="BE20" i="123" s="1"/>
  <c r="L21" i="123"/>
  <c r="BD21" i="123" s="1"/>
  <c r="L26" i="123"/>
  <c r="BD26" i="123" s="1"/>
  <c r="L28" i="123"/>
  <c r="L8" i="123"/>
  <c r="BD8" i="123" s="1"/>
  <c r="L9" i="123"/>
  <c r="BD9" i="123" s="1"/>
  <c r="L10" i="123"/>
  <c r="BD10" i="123" s="1"/>
  <c r="L11" i="123"/>
  <c r="BD11" i="123" s="1"/>
  <c r="L12" i="123"/>
  <c r="BD12" i="123" s="1"/>
  <c r="L13" i="123"/>
  <c r="BD13" i="123" s="1"/>
  <c r="L14" i="123"/>
  <c r="BD14" i="123" s="1"/>
  <c r="L15" i="123"/>
  <c r="L16" i="123"/>
  <c r="BD16" i="123" s="1"/>
  <c r="L17" i="123"/>
  <c r="BD17" i="123" s="1"/>
  <c r="L18" i="123"/>
  <c r="BD18" i="123" s="1"/>
  <c r="N20" i="123"/>
  <c r="BF20" i="123" s="1"/>
  <c r="M21" i="123"/>
  <c r="BE21" i="123" s="1"/>
  <c r="L22" i="123"/>
  <c r="BD22" i="123" s="1"/>
  <c r="L24" i="123"/>
  <c r="BD24" i="123" s="1"/>
  <c r="M26" i="123"/>
  <c r="BE26" i="123" s="1"/>
  <c r="M28" i="123"/>
  <c r="BE28" i="123" s="1"/>
  <c r="M8" i="123"/>
  <c r="BE8" i="123" s="1"/>
  <c r="M9" i="123"/>
  <c r="BE9" i="123" s="1"/>
  <c r="M10" i="123"/>
  <c r="BE10" i="123" s="1"/>
  <c r="M11" i="123"/>
  <c r="BE11" i="123" s="1"/>
  <c r="M12" i="123"/>
  <c r="BE12" i="123" s="1"/>
  <c r="M13" i="123"/>
  <c r="BE13" i="123" s="1"/>
  <c r="M14" i="123"/>
  <c r="BE14" i="123" s="1"/>
  <c r="M15" i="123"/>
  <c r="BE15" i="123" s="1"/>
  <c r="M16" i="123"/>
  <c r="BE16" i="123" s="1"/>
  <c r="M17" i="123"/>
  <c r="BE17" i="123" s="1"/>
  <c r="M18" i="123"/>
  <c r="BE18" i="123" s="1"/>
  <c r="L19" i="123"/>
  <c r="BD19" i="123" s="1"/>
  <c r="N21" i="123"/>
  <c r="BF21" i="123" s="1"/>
  <c r="M22" i="123"/>
  <c r="BE22" i="123" s="1"/>
  <c r="M24" i="123"/>
  <c r="BE24" i="123" s="1"/>
  <c r="N26" i="123"/>
  <c r="BF26" i="123" s="1"/>
  <c r="N28" i="123"/>
  <c r="BF28" i="123" s="1"/>
  <c r="N8" i="123"/>
  <c r="BF8" i="123" s="1"/>
  <c r="N9" i="123"/>
  <c r="BF9" i="123" s="1"/>
  <c r="N10" i="123"/>
  <c r="BF10" i="123" s="1"/>
  <c r="N11" i="123"/>
  <c r="BF11" i="123" s="1"/>
  <c r="N12" i="123"/>
  <c r="BF12" i="123" s="1"/>
  <c r="N13" i="123"/>
  <c r="BF13" i="123" s="1"/>
  <c r="N14" i="123"/>
  <c r="BF14" i="123" s="1"/>
  <c r="N15" i="123"/>
  <c r="BF15" i="123" s="1"/>
  <c r="N16" i="123"/>
  <c r="BF16" i="123" s="1"/>
  <c r="N17" i="123"/>
  <c r="BF17" i="123" s="1"/>
  <c r="N18" i="123"/>
  <c r="BF18" i="123" s="1"/>
  <c r="M19" i="123"/>
  <c r="BE19" i="123" s="1"/>
  <c r="L20" i="123"/>
  <c r="BD20" i="123" s="1"/>
  <c r="N22" i="123"/>
  <c r="BF22" i="123" s="1"/>
  <c r="N24" i="123"/>
  <c r="BF24" i="123" s="1"/>
  <c r="G747" i="108"/>
  <c r="G746" i="108"/>
  <c r="M717" i="108"/>
  <c r="N717" i="108" s="1"/>
  <c r="G717" i="108"/>
  <c r="L713" i="108"/>
  <c r="L709" i="108"/>
  <c r="L708" i="108"/>
  <c r="L705" i="108"/>
  <c r="G701" i="108"/>
  <c r="G693" i="108"/>
  <c r="K693" i="108"/>
  <c r="G671" i="108"/>
  <c r="K671" i="108"/>
  <c r="G638" i="108"/>
  <c r="K638" i="108"/>
  <c r="G634" i="108"/>
  <c r="K634" i="108"/>
  <c r="G630" i="108"/>
  <c r="K630" i="108"/>
  <c r="G608" i="108"/>
  <c r="K608" i="108"/>
  <c r="G604" i="108"/>
  <c r="K604" i="108"/>
  <c r="G600" i="108"/>
  <c r="K600" i="108"/>
  <c r="G596" i="108"/>
  <c r="K596" i="108"/>
  <c r="N596" i="108" s="1"/>
  <c r="G740" i="108"/>
  <c r="G736" i="108"/>
  <c r="G732" i="108"/>
  <c r="G728" i="108"/>
  <c r="N728" i="108" s="1"/>
  <c r="G724" i="108"/>
  <c r="G720" i="108"/>
  <c r="G687" i="108"/>
  <c r="M670" i="108"/>
  <c r="M637" i="108"/>
  <c r="M633" i="108"/>
  <c r="G627" i="108"/>
  <c r="K627" i="108"/>
  <c r="N627" i="108" s="1"/>
  <c r="M607" i="108"/>
  <c r="M603" i="108"/>
  <c r="M599" i="108"/>
  <c r="M595" i="108"/>
  <c r="G716" i="108"/>
  <c r="M712" i="108"/>
  <c r="G712" i="108"/>
  <c r="M704" i="108"/>
  <c r="L687" i="108"/>
  <c r="G673" i="108"/>
  <c r="K673" i="108"/>
  <c r="G669" i="108"/>
  <c r="N669" i="108" s="1"/>
  <c r="K669" i="108"/>
  <c r="G636" i="108"/>
  <c r="K636" i="108"/>
  <c r="G632" i="108"/>
  <c r="G860" i="108" s="1"/>
  <c r="K632" i="108"/>
  <c r="M626" i="108"/>
  <c r="G606" i="108"/>
  <c r="K606" i="108"/>
  <c r="N606" i="108" s="1"/>
  <c r="G602" i="108"/>
  <c r="K602" i="108"/>
  <c r="G598" i="108"/>
  <c r="K598" i="108"/>
  <c r="G594" i="108"/>
  <c r="K594" i="108"/>
  <c r="G694" i="108"/>
  <c r="L689" i="108"/>
  <c r="N689" i="108" s="1"/>
  <c r="G683" i="108"/>
  <c r="G667" i="108"/>
  <c r="G665" i="108"/>
  <c r="G663" i="108"/>
  <c r="N663" i="108" s="1"/>
  <c r="G661" i="108"/>
  <c r="G659" i="108"/>
  <c r="G657" i="108"/>
  <c r="G655" i="108"/>
  <c r="N655" i="108" s="1"/>
  <c r="G653" i="108"/>
  <c r="G651" i="108"/>
  <c r="G649" i="108"/>
  <c r="G647" i="108"/>
  <c r="N647" i="108" s="1"/>
  <c r="G645" i="108"/>
  <c r="G643" i="108"/>
  <c r="G641" i="108"/>
  <c r="G639" i="108"/>
  <c r="N639" i="108" s="1"/>
  <c r="G628" i="108"/>
  <c r="G625" i="108"/>
  <c r="G623" i="108"/>
  <c r="G621" i="108"/>
  <c r="G619" i="108"/>
  <c r="G617" i="108"/>
  <c r="G615" i="108"/>
  <c r="G613" i="108"/>
  <c r="N613" i="108" s="1"/>
  <c r="G611" i="108"/>
  <c r="G609" i="108"/>
  <c r="G586" i="108"/>
  <c r="G577" i="108"/>
  <c r="N577" i="108" s="1"/>
  <c r="G575" i="108"/>
  <c r="G573" i="108"/>
  <c r="G571" i="108"/>
  <c r="G569" i="108"/>
  <c r="N569" i="108" s="1"/>
  <c r="G567" i="108"/>
  <c r="G565" i="108"/>
  <c r="G563" i="108"/>
  <c r="G561" i="108"/>
  <c r="N561" i="108" s="1"/>
  <c r="G559" i="108"/>
  <c r="G557" i="108"/>
  <c r="G555" i="108"/>
  <c r="G553" i="108"/>
  <c r="N553" i="108" s="1"/>
  <c r="G695" i="108"/>
  <c r="N695" i="108" s="1"/>
  <c r="K694" i="108"/>
  <c r="L685" i="108"/>
  <c r="L684" i="108"/>
  <c r="L682" i="108"/>
  <c r="G672" i="108"/>
  <c r="G670" i="108"/>
  <c r="G668" i="108"/>
  <c r="N668" i="108" s="1"/>
  <c r="K667" i="108"/>
  <c r="M666" i="108"/>
  <c r="K665" i="108"/>
  <c r="M664" i="108"/>
  <c r="K663" i="108"/>
  <c r="M662" i="108"/>
  <c r="K661" i="108"/>
  <c r="M660" i="108"/>
  <c r="N660" i="108" s="1"/>
  <c r="K659" i="108"/>
  <c r="M658" i="108"/>
  <c r="K657" i="108"/>
  <c r="M656" i="108"/>
  <c r="K655" i="108"/>
  <c r="M654" i="108"/>
  <c r="K653" i="108"/>
  <c r="M652" i="108"/>
  <c r="K651" i="108"/>
  <c r="M650" i="108"/>
  <c r="K649" i="108"/>
  <c r="M648" i="108"/>
  <c r="N648" i="108" s="1"/>
  <c r="K647" i="108"/>
  <c r="M646" i="108"/>
  <c r="K645" i="108"/>
  <c r="M644" i="108"/>
  <c r="K643" i="108"/>
  <c r="M642" i="108"/>
  <c r="K641" i="108"/>
  <c r="M640" i="108"/>
  <c r="K639" i="108"/>
  <c r="G637" i="108"/>
  <c r="G635" i="108"/>
  <c r="N635" i="108" s="1"/>
  <c r="G633" i="108"/>
  <c r="N633" i="108" s="1"/>
  <c r="G631" i="108"/>
  <c r="M629" i="108"/>
  <c r="K628" i="108"/>
  <c r="G626" i="108"/>
  <c r="N626" i="108" s="1"/>
  <c r="K625" i="108"/>
  <c r="M624" i="108"/>
  <c r="K623" i="108"/>
  <c r="M622" i="108"/>
  <c r="K621" i="108"/>
  <c r="M620" i="108"/>
  <c r="K619" i="108"/>
  <c r="M618" i="108"/>
  <c r="K617" i="108"/>
  <c r="M616" i="108"/>
  <c r="K615" i="108"/>
  <c r="M614" i="108"/>
  <c r="K613" i="108"/>
  <c r="M612" i="108"/>
  <c r="K611" i="108"/>
  <c r="N611" i="108" s="1"/>
  <c r="M610" i="108"/>
  <c r="N610" i="108" s="1"/>
  <c r="K609" i="108"/>
  <c r="G607" i="108"/>
  <c r="G605" i="108"/>
  <c r="G603" i="108"/>
  <c r="G601" i="108"/>
  <c r="G599" i="108"/>
  <c r="G597" i="108"/>
  <c r="G595" i="108"/>
  <c r="G593" i="108"/>
  <c r="G591" i="108"/>
  <c r="G589" i="108"/>
  <c r="N589" i="108" s="1"/>
  <c r="M587" i="108"/>
  <c r="N587" i="108" s="1"/>
  <c r="K586" i="108"/>
  <c r="M585" i="108"/>
  <c r="G584" i="108"/>
  <c r="G582" i="108"/>
  <c r="N582" i="108" s="1"/>
  <c r="G580" i="108"/>
  <c r="M578" i="108"/>
  <c r="K577" i="108"/>
  <c r="M576" i="108"/>
  <c r="N576" i="108" s="1"/>
  <c r="K575" i="108"/>
  <c r="M574" i="108"/>
  <c r="K573" i="108"/>
  <c r="M572" i="108"/>
  <c r="K571" i="108"/>
  <c r="M570" i="108"/>
  <c r="K569" i="108"/>
  <c r="M568" i="108"/>
  <c r="N568" i="108" s="1"/>
  <c r="K567" i="108"/>
  <c r="M566" i="108"/>
  <c r="K565" i="108"/>
  <c r="M564" i="108"/>
  <c r="N564" i="108" s="1"/>
  <c r="K563" i="108"/>
  <c r="M562" i="108"/>
  <c r="K561" i="108"/>
  <c r="M560" i="108"/>
  <c r="K559" i="108"/>
  <c r="M558" i="108"/>
  <c r="K557" i="108"/>
  <c r="M556" i="108"/>
  <c r="N556" i="108" s="1"/>
  <c r="K555" i="108"/>
  <c r="M554" i="108"/>
  <c r="K553" i="108"/>
  <c r="M552" i="108"/>
  <c r="N552" i="108" s="1"/>
  <c r="G551" i="108"/>
  <c r="G549" i="108"/>
  <c r="G547" i="108"/>
  <c r="N547" i="108" s="1"/>
  <c r="G545" i="108"/>
  <c r="N545" i="108" s="1"/>
  <c r="G543" i="108"/>
  <c r="G541" i="108"/>
  <c r="G539" i="108"/>
  <c r="G537" i="108"/>
  <c r="N537" i="108" s="1"/>
  <c r="G535" i="108"/>
  <c r="G533" i="108"/>
  <c r="M532" i="108"/>
  <c r="G531" i="108"/>
  <c r="M530" i="108"/>
  <c r="G529" i="108"/>
  <c r="M528" i="108"/>
  <c r="G704" i="108"/>
  <c r="N704" i="108" s="1"/>
  <c r="G700" i="108"/>
  <c r="G698" i="108"/>
  <c r="L686" i="108"/>
  <c r="G681" i="108"/>
  <c r="N681" i="108" s="1"/>
  <c r="G674" i="108"/>
  <c r="M673" i="108"/>
  <c r="K672" i="108"/>
  <c r="M671" i="108"/>
  <c r="K670" i="108"/>
  <c r="M669" i="108"/>
  <c r="K668" i="108"/>
  <c r="G666" i="108"/>
  <c r="G664" i="108"/>
  <c r="G662" i="108"/>
  <c r="G660" i="108"/>
  <c r="G658" i="108"/>
  <c r="G656" i="108"/>
  <c r="G654" i="108"/>
  <c r="G652" i="108"/>
  <c r="G650" i="108"/>
  <c r="G648" i="108"/>
  <c r="G646" i="108"/>
  <c r="G644" i="108"/>
  <c r="G642" i="108"/>
  <c r="G640" i="108"/>
  <c r="M638" i="108"/>
  <c r="K637" i="108"/>
  <c r="N637" i="108" s="1"/>
  <c r="M636" i="108"/>
  <c r="K635" i="108"/>
  <c r="M634" i="108"/>
  <c r="K633" i="108"/>
  <c r="M632" i="108"/>
  <c r="K631" i="108"/>
  <c r="M630" i="108"/>
  <c r="G629" i="108"/>
  <c r="M627" i="108"/>
  <c r="K626" i="108"/>
  <c r="G624" i="108"/>
  <c r="G622" i="108"/>
  <c r="G620" i="108"/>
  <c r="G618" i="108"/>
  <c r="G616" i="108"/>
  <c r="G614" i="108"/>
  <c r="G612" i="108"/>
  <c r="G610" i="108"/>
  <c r="M608" i="108"/>
  <c r="K607" i="108"/>
  <c r="M606" i="108"/>
  <c r="K605" i="108"/>
  <c r="M604" i="108"/>
  <c r="K603" i="108"/>
  <c r="M602" i="108"/>
  <c r="K601" i="108"/>
  <c r="M600" i="108"/>
  <c r="K599" i="108"/>
  <c r="M598" i="108"/>
  <c r="K597" i="108"/>
  <c r="M596" i="108"/>
  <c r="K595" i="108"/>
  <c r="M594" i="108"/>
  <c r="K593" i="108"/>
  <c r="M592" i="108"/>
  <c r="K591" i="108"/>
  <c r="N591" i="108" s="1"/>
  <c r="M590" i="108"/>
  <c r="K589" i="108"/>
  <c r="M588" i="108"/>
  <c r="G587" i="108"/>
  <c r="G585" i="108"/>
  <c r="K584" i="108"/>
  <c r="M583" i="108"/>
  <c r="K582" i="108"/>
  <c r="M581" i="108"/>
  <c r="K580" i="108"/>
  <c r="M579" i="108"/>
  <c r="G578" i="108"/>
  <c r="N578" i="108" s="1"/>
  <c r="G576" i="108"/>
  <c r="G574" i="108"/>
  <c r="G572" i="108"/>
  <c r="G570" i="108"/>
  <c r="G568" i="108"/>
  <c r="G566" i="108"/>
  <c r="G564" i="108"/>
  <c r="G562" i="108"/>
  <c r="N562" i="108" s="1"/>
  <c r="G560" i="108"/>
  <c r="G558" i="108"/>
  <c r="G556" i="108"/>
  <c r="G554" i="108"/>
  <c r="N554" i="108" s="1"/>
  <c r="G552" i="108"/>
  <c r="K551" i="108"/>
  <c r="M550" i="108"/>
  <c r="K549" i="108"/>
  <c r="M548" i="108"/>
  <c r="K547" i="108"/>
  <c r="M546" i="108"/>
  <c r="K545" i="108"/>
  <c r="M544" i="108"/>
  <c r="K543" i="108"/>
  <c r="M542" i="108"/>
  <c r="K541" i="108"/>
  <c r="M540" i="108"/>
  <c r="K539" i="108"/>
  <c r="M538" i="108"/>
  <c r="K537" i="108"/>
  <c r="M536" i="108"/>
  <c r="K535" i="108"/>
  <c r="M534" i="108"/>
  <c r="K533" i="108"/>
  <c r="N533" i="108" s="1"/>
  <c r="K531" i="108"/>
  <c r="K529" i="108"/>
  <c r="G592" i="108"/>
  <c r="G590" i="108"/>
  <c r="G588" i="108"/>
  <c r="G583" i="108"/>
  <c r="G581" i="108"/>
  <c r="G579" i="108"/>
  <c r="G550" i="108"/>
  <c r="G548" i="108"/>
  <c r="G546" i="108"/>
  <c r="G544" i="108"/>
  <c r="G542" i="108"/>
  <c r="G540" i="108"/>
  <c r="G538" i="108"/>
  <c r="G536" i="108"/>
  <c r="N536" i="108" s="1"/>
  <c r="G534" i="108"/>
  <c r="G689" i="108"/>
  <c r="G682" i="108"/>
  <c r="G511" i="108"/>
  <c r="M510" i="108"/>
  <c r="G510" i="108"/>
  <c r="G483" i="108"/>
  <c r="G515" i="108"/>
  <c r="G514" i="108"/>
  <c r="G503" i="108"/>
  <c r="G502" i="108"/>
  <c r="N502" i="108" s="1"/>
  <c r="G499" i="108"/>
  <c r="G498" i="108"/>
  <c r="M486" i="108"/>
  <c r="L483" i="108"/>
  <c r="G686" i="108"/>
  <c r="N686" i="108" s="1"/>
  <c r="G685" i="108"/>
  <c r="G684" i="108"/>
  <c r="G532" i="108"/>
  <c r="G530" i="108"/>
  <c r="G528" i="108"/>
  <c r="G526" i="108"/>
  <c r="G524" i="108"/>
  <c r="G522" i="108"/>
  <c r="G520" i="108"/>
  <c r="G518" i="108"/>
  <c r="G516" i="108"/>
  <c r="L515" i="108"/>
  <c r="L514" i="108"/>
  <c r="G507" i="108"/>
  <c r="M506" i="108"/>
  <c r="G506" i="108"/>
  <c r="N506" i="108" s="1"/>
  <c r="L503" i="108"/>
  <c r="L502" i="108"/>
  <c r="L499" i="108"/>
  <c r="L498" i="108"/>
  <c r="G495" i="108"/>
  <c r="G487" i="108"/>
  <c r="L495" i="108"/>
  <c r="G491" i="108"/>
  <c r="M466" i="108"/>
  <c r="M462" i="108"/>
  <c r="M458" i="108"/>
  <c r="M454" i="108"/>
  <c r="M450" i="108"/>
  <c r="M446" i="108"/>
  <c r="M444" i="108"/>
  <c r="G479" i="108"/>
  <c r="M476" i="108"/>
  <c r="G476" i="108"/>
  <c r="M468" i="108"/>
  <c r="M464" i="108"/>
  <c r="M460" i="108"/>
  <c r="M456" i="108"/>
  <c r="M452" i="108"/>
  <c r="M448" i="108"/>
  <c r="G442" i="108"/>
  <c r="G440" i="108"/>
  <c r="G494" i="108"/>
  <c r="G490" i="108"/>
  <c r="G486" i="108"/>
  <c r="G482" i="108"/>
  <c r="G478" i="108"/>
  <c r="N478" i="108"/>
  <c r="L476" i="108"/>
  <c r="M472" i="108"/>
  <c r="G472" i="108"/>
  <c r="G471" i="108"/>
  <c r="G470" i="108"/>
  <c r="G444" i="108"/>
  <c r="K444" i="108"/>
  <c r="M443" i="108"/>
  <c r="K442" i="108"/>
  <c r="M441" i="108"/>
  <c r="K440" i="108"/>
  <c r="G466" i="108"/>
  <c r="N466" i="108" s="1"/>
  <c r="G462" i="108"/>
  <c r="G458" i="108"/>
  <c r="G454" i="108"/>
  <c r="G450" i="108"/>
  <c r="G446" i="108"/>
  <c r="G443" i="108"/>
  <c r="G441" i="108"/>
  <c r="G419" i="108"/>
  <c r="G417" i="108"/>
  <c r="G415" i="108"/>
  <c r="G413" i="108"/>
  <c r="G411" i="108"/>
  <c r="N411" i="108" s="1"/>
  <c r="G409" i="108"/>
  <c r="G407" i="108"/>
  <c r="G405" i="108"/>
  <c r="G403" i="108"/>
  <c r="G385" i="108"/>
  <c r="G438" i="108"/>
  <c r="G436" i="108"/>
  <c r="G434" i="108"/>
  <c r="G432" i="108"/>
  <c r="G430" i="108"/>
  <c r="G428" i="108"/>
  <c r="G426" i="108"/>
  <c r="G424" i="108"/>
  <c r="M421" i="108"/>
  <c r="K419" i="108"/>
  <c r="M418" i="108"/>
  <c r="K417" i="108"/>
  <c r="M416" i="108"/>
  <c r="N416" i="108" s="1"/>
  <c r="K415" i="108"/>
  <c r="M414" i="108"/>
  <c r="K413" i="108"/>
  <c r="M412" i="108"/>
  <c r="K411" i="108"/>
  <c r="M410" i="108"/>
  <c r="K409" i="108"/>
  <c r="M408" i="108"/>
  <c r="K407" i="108"/>
  <c r="M406" i="108"/>
  <c r="K405" i="108"/>
  <c r="M404" i="108"/>
  <c r="K403" i="108"/>
  <c r="G401" i="108"/>
  <c r="G399" i="108"/>
  <c r="G397" i="108"/>
  <c r="G13" i="108"/>
  <c r="G395" i="108"/>
  <c r="G421" i="108"/>
  <c r="G420" i="108"/>
  <c r="G418" i="108"/>
  <c r="G416" i="108"/>
  <c r="G414" i="108"/>
  <c r="G412" i="108"/>
  <c r="G410" i="108"/>
  <c r="G408" i="108"/>
  <c r="G406" i="108"/>
  <c r="G404" i="108"/>
  <c r="AC13" i="108"/>
  <c r="M13" i="108" s="1"/>
  <c r="G468" i="108"/>
  <c r="G464" i="108"/>
  <c r="G460" i="108"/>
  <c r="G456" i="108"/>
  <c r="G452" i="108"/>
  <c r="G448" i="108"/>
  <c r="G439" i="108"/>
  <c r="G437" i="108"/>
  <c r="G435" i="108"/>
  <c r="G433" i="108"/>
  <c r="N433" i="108"/>
  <c r="G431" i="108"/>
  <c r="G429" i="108"/>
  <c r="G427" i="108"/>
  <c r="G425" i="108"/>
  <c r="G423" i="108"/>
  <c r="G422" i="108"/>
  <c r="K421" i="108"/>
  <c r="M419" i="108"/>
  <c r="K418" i="108"/>
  <c r="M417" i="108"/>
  <c r="K416" i="108"/>
  <c r="M415" i="108"/>
  <c r="K414" i="108"/>
  <c r="M413" i="108"/>
  <c r="K412" i="108"/>
  <c r="M411" i="108"/>
  <c r="K410" i="108"/>
  <c r="M409" i="108"/>
  <c r="K408" i="108"/>
  <c r="M407" i="108"/>
  <c r="K406" i="108"/>
  <c r="M405" i="108"/>
  <c r="K404" i="108"/>
  <c r="M403" i="108"/>
  <c r="G402" i="108"/>
  <c r="G400" i="108"/>
  <c r="G398" i="108"/>
  <c r="G396" i="108"/>
  <c r="G393" i="108"/>
  <c r="G391" i="108"/>
  <c r="G387" i="108"/>
  <c r="G373" i="108"/>
  <c r="K373" i="108"/>
  <c r="G359" i="108"/>
  <c r="G384" i="108"/>
  <c r="G375" i="108"/>
  <c r="G372" i="108"/>
  <c r="K372" i="108"/>
  <c r="M371" i="108"/>
  <c r="M370" i="108"/>
  <c r="M369" i="108"/>
  <c r="L368" i="108"/>
  <c r="G367" i="108"/>
  <c r="G363" i="108"/>
  <c r="M359" i="108"/>
  <c r="L372" i="108"/>
  <c r="G362" i="108"/>
  <c r="N362" i="108" s="1"/>
  <c r="G386" i="108"/>
  <c r="G382" i="108"/>
  <c r="G381" i="108"/>
  <c r="G377" i="108"/>
  <c r="G11" i="108"/>
  <c r="G371" i="108"/>
  <c r="K371" i="108"/>
  <c r="G370" i="108"/>
  <c r="K370" i="108"/>
  <c r="G369" i="108"/>
  <c r="K369" i="108"/>
  <c r="M365" i="108"/>
  <c r="M358" i="108"/>
  <c r="G353" i="108"/>
  <c r="G352" i="108"/>
  <c r="G347" i="108"/>
  <c r="N347" i="108" s="1"/>
  <c r="G343" i="108"/>
  <c r="G314" i="108"/>
  <c r="G9" i="108"/>
  <c r="G293" i="108"/>
  <c r="G291" i="108"/>
  <c r="G358" i="108"/>
  <c r="G350" i="108"/>
  <c r="N350" i="108" s="1"/>
  <c r="L349" i="108"/>
  <c r="G349" i="108"/>
  <c r="M348" i="108"/>
  <c r="G319" i="108"/>
  <c r="G317" i="108"/>
  <c r="M315" i="108"/>
  <c r="K314" i="108"/>
  <c r="M313" i="108"/>
  <c r="G311" i="108"/>
  <c r="G305" i="108"/>
  <c r="N305" i="108" s="1"/>
  <c r="G303" i="108"/>
  <c r="G301" i="108"/>
  <c r="G299" i="108"/>
  <c r="G297" i="108"/>
  <c r="N297" i="108" s="1"/>
  <c r="G348" i="108"/>
  <c r="G315" i="108"/>
  <c r="G313" i="108"/>
  <c r="K299" i="108"/>
  <c r="N299" i="108" s="1"/>
  <c r="M298" i="108"/>
  <c r="K297" i="108"/>
  <c r="G295" i="108"/>
  <c r="G294" i="108"/>
  <c r="G292" i="108"/>
  <c r="G290" i="108"/>
  <c r="G368" i="108"/>
  <c r="G365" i="108"/>
  <c r="G361" i="108"/>
  <c r="G357" i="108"/>
  <c r="K348" i="108"/>
  <c r="G344" i="108"/>
  <c r="G339" i="108"/>
  <c r="G335" i="108"/>
  <c r="G331" i="108"/>
  <c r="G327" i="108"/>
  <c r="N327" i="108" s="1"/>
  <c r="G318" i="108"/>
  <c r="G316" i="108"/>
  <c r="K315" i="108"/>
  <c r="M314" i="108"/>
  <c r="N314" i="108" s="1"/>
  <c r="K313" i="108"/>
  <c r="G312" i="108"/>
  <c r="G310" i="108"/>
  <c r="G309" i="108"/>
  <c r="G306" i="108"/>
  <c r="G304" i="108"/>
  <c r="G302" i="108"/>
  <c r="G300" i="108"/>
  <c r="G298" i="108"/>
  <c r="G296" i="108"/>
  <c r="G257" i="108"/>
  <c r="G283" i="108"/>
  <c r="G282" i="108"/>
  <c r="G281" i="108"/>
  <c r="G280" i="108"/>
  <c r="G279" i="108"/>
  <c r="G278" i="108"/>
  <c r="G277" i="108"/>
  <c r="G276" i="108"/>
  <c r="G275" i="108"/>
  <c r="N275" i="108" s="1"/>
  <c r="G274" i="108"/>
  <c r="G270" i="108"/>
  <c r="G266" i="108"/>
  <c r="G262" i="108"/>
  <c r="N262" i="108" s="1"/>
  <c r="G271" i="108"/>
  <c r="G267" i="108"/>
  <c r="G263" i="108"/>
  <c r="G250" i="108"/>
  <c r="G246" i="108"/>
  <c r="G261" i="108"/>
  <c r="G259" i="108"/>
  <c r="N259" i="108" s="1"/>
  <c r="G242" i="108"/>
  <c r="N242" i="108" s="1"/>
  <c r="K242" i="108"/>
  <c r="G207" i="108"/>
  <c r="M236" i="108"/>
  <c r="G236" i="108"/>
  <c r="G226" i="108"/>
  <c r="M216" i="108"/>
  <c r="M212" i="108"/>
  <c r="L207" i="108"/>
  <c r="G232" i="108"/>
  <c r="G225" i="108"/>
  <c r="G222" i="108"/>
  <c r="N222" i="108" s="1"/>
  <c r="G219" i="108"/>
  <c r="N219" i="108" s="1"/>
  <c r="G206" i="108"/>
  <c r="M240" i="108"/>
  <c r="G240" i="108"/>
  <c r="G237" i="108"/>
  <c r="G235" i="108"/>
  <c r="L232" i="108"/>
  <c r="M228" i="108"/>
  <c r="M224" i="108"/>
  <c r="M222" i="108"/>
  <c r="G218" i="108"/>
  <c r="G214" i="108"/>
  <c r="N214" i="108" s="1"/>
  <c r="G211" i="108"/>
  <c r="N211" i="108" s="1"/>
  <c r="G210" i="108"/>
  <c r="M206" i="108"/>
  <c r="G202" i="108"/>
  <c r="N202" i="108" s="1"/>
  <c r="G198" i="108"/>
  <c r="G194" i="108"/>
  <c r="G190" i="108"/>
  <c r="G186" i="108"/>
  <c r="G172" i="108"/>
  <c r="N172" i="108" s="1"/>
  <c r="G170" i="108"/>
  <c r="G168" i="108"/>
  <c r="G166" i="108"/>
  <c r="N166" i="108" s="1"/>
  <c r="G164" i="108"/>
  <c r="G162" i="108"/>
  <c r="G159" i="108"/>
  <c r="G157" i="108"/>
  <c r="N157" i="108" s="1"/>
  <c r="G155" i="108"/>
  <c r="N155" i="108" s="1"/>
  <c r="G153" i="108"/>
  <c r="G151" i="108"/>
  <c r="N151" i="108"/>
  <c r="G228" i="108"/>
  <c r="N228" i="108" s="1"/>
  <c r="G224" i="108"/>
  <c r="G220" i="108"/>
  <c r="G216" i="108"/>
  <c r="N216" i="108" s="1"/>
  <c r="G212" i="108"/>
  <c r="G208" i="108"/>
  <c r="G204" i="108"/>
  <c r="G200" i="108"/>
  <c r="G196" i="108"/>
  <c r="G192" i="108"/>
  <c r="G188" i="108"/>
  <c r="N188" i="108"/>
  <c r="G173" i="108"/>
  <c r="G171" i="108"/>
  <c r="G169" i="108"/>
  <c r="G167" i="108"/>
  <c r="N167" i="108" s="1"/>
  <c r="G165" i="108"/>
  <c r="G163" i="108"/>
  <c r="G160" i="108"/>
  <c r="G158" i="108"/>
  <c r="G156" i="108"/>
  <c r="N156" i="108" s="1"/>
  <c r="G154" i="108"/>
  <c r="G203" i="108"/>
  <c r="G199" i="108"/>
  <c r="N199" i="108" s="1"/>
  <c r="G195" i="108"/>
  <c r="G191" i="108"/>
  <c r="G187" i="108"/>
  <c r="K173" i="108"/>
  <c r="M172" i="108"/>
  <c r="K171" i="108"/>
  <c r="M170" i="108"/>
  <c r="K169" i="108"/>
  <c r="M168" i="108"/>
  <c r="N168" i="108" s="1"/>
  <c r="K167" i="108"/>
  <c r="M166" i="108"/>
  <c r="K165" i="108"/>
  <c r="M164" i="108"/>
  <c r="K163" i="108"/>
  <c r="M162" i="108"/>
  <c r="K160" i="108"/>
  <c r="N160" i="108" s="1"/>
  <c r="M159" i="108"/>
  <c r="K158" i="108"/>
  <c r="M157" i="108"/>
  <c r="K156" i="108"/>
  <c r="M155" i="108"/>
  <c r="K154" i="108"/>
  <c r="M153" i="108"/>
  <c r="G152" i="108"/>
  <c r="N152" i="108" s="1"/>
  <c r="G150" i="108"/>
  <c r="N150" i="108" s="1"/>
  <c r="G148" i="108"/>
  <c r="G146" i="108"/>
  <c r="G141" i="108"/>
  <c r="N141" i="108" s="1"/>
  <c r="G139" i="108"/>
  <c r="N139" i="108" s="1"/>
  <c r="G137" i="108"/>
  <c r="G149" i="108"/>
  <c r="G147" i="108"/>
  <c r="G145" i="108"/>
  <c r="G143" i="108"/>
  <c r="K141" i="108"/>
  <c r="K139" i="108"/>
  <c r="G140" i="108"/>
  <c r="N140" i="108" s="1"/>
  <c r="G138" i="108"/>
  <c r="G136" i="108"/>
  <c r="G135" i="108"/>
  <c r="G134" i="108"/>
  <c r="G133" i="108"/>
  <c r="G132" i="108"/>
  <c r="G131" i="108"/>
  <c r="N131" i="108" s="1"/>
  <c r="G122" i="108"/>
  <c r="L119" i="108"/>
  <c r="G129" i="108"/>
  <c r="G128" i="108"/>
  <c r="G127" i="108"/>
  <c r="N127" i="108" s="1"/>
  <c r="G126" i="108"/>
  <c r="G125" i="108"/>
  <c r="G124" i="108"/>
  <c r="G123" i="108"/>
  <c r="N123" i="108" s="1"/>
  <c r="G118" i="108"/>
  <c r="G115" i="108"/>
  <c r="K129" i="108"/>
  <c r="K128" i="108"/>
  <c r="K127" i="108"/>
  <c r="K126" i="108"/>
  <c r="K125" i="108"/>
  <c r="N125" i="108" s="1"/>
  <c r="K124" i="108"/>
  <c r="K123" i="108"/>
  <c r="K118" i="108"/>
  <c r="L115" i="108"/>
  <c r="N115" i="108" s="1"/>
  <c r="G112" i="108"/>
  <c r="N112" i="108" s="1"/>
  <c r="G119" i="108"/>
  <c r="G114" i="108"/>
  <c r="K112" i="108"/>
  <c r="G101" i="108"/>
  <c r="G105" i="108"/>
  <c r="G98" i="108"/>
  <c r="G109" i="108"/>
  <c r="N109" i="108" s="1"/>
  <c r="K105" i="108"/>
  <c r="N105" i="108" s="1"/>
  <c r="G104" i="108"/>
  <c r="G111" i="108"/>
  <c r="K109" i="108"/>
  <c r="G108" i="108"/>
  <c r="L106" i="108"/>
  <c r="M79" i="108"/>
  <c r="T76" i="108"/>
  <c r="X76" i="108"/>
  <c r="G63" i="108"/>
  <c r="G94" i="108"/>
  <c r="G90" i="108"/>
  <c r="G86" i="108"/>
  <c r="N86" i="108" s="1"/>
  <c r="G79" i="108"/>
  <c r="G77" i="108"/>
  <c r="G74" i="108"/>
  <c r="N74" i="108"/>
  <c r="G73" i="108"/>
  <c r="T73" i="108"/>
  <c r="X73" i="108"/>
  <c r="S73" i="108"/>
  <c r="V73" i="108"/>
  <c r="G71" i="108"/>
  <c r="N71" i="108"/>
  <c r="S76" i="108"/>
  <c r="V76" i="108"/>
  <c r="G69" i="108"/>
  <c r="N69" i="108"/>
  <c r="S67" i="108"/>
  <c r="V67" i="108"/>
  <c r="G66" i="108"/>
  <c r="N66" i="108"/>
  <c r="G72" i="108"/>
  <c r="G65" i="108"/>
  <c r="N65" i="108" s="1"/>
  <c r="G57" i="108"/>
  <c r="G53" i="108"/>
  <c r="G64" i="108"/>
  <c r="N64" i="108" s="1"/>
  <c r="R64" i="108"/>
  <c r="G62" i="108"/>
  <c r="N62" i="108"/>
  <c r="T61" i="108"/>
  <c r="X61" i="108"/>
  <c r="G60" i="108"/>
  <c r="N60" i="108"/>
  <c r="S57" i="108"/>
  <c r="V57" i="108"/>
  <c r="R71" i="108"/>
  <c r="G70" i="108"/>
  <c r="N70" i="108" s="1"/>
  <c r="T70" i="108"/>
  <c r="X70" i="108"/>
  <c r="T66" i="108"/>
  <c r="X66" i="108"/>
  <c r="G58" i="108"/>
  <c r="N58" i="108" s="1"/>
  <c r="T58" i="108"/>
  <c r="X58" i="108"/>
  <c r="G56" i="108"/>
  <c r="N56" i="108" s="1"/>
  <c r="S61" i="108"/>
  <c r="V61" i="108"/>
  <c r="G52" i="108"/>
  <c r="S32" i="108"/>
  <c r="W32" i="108"/>
  <c r="L30" i="108"/>
  <c r="L27" i="108"/>
  <c r="M26" i="108"/>
  <c r="L23" i="108"/>
  <c r="S56" i="108"/>
  <c r="V56" i="108"/>
  <c r="G55" i="108"/>
  <c r="N55" i="108" s="1"/>
  <c r="G47" i="108"/>
  <c r="G45" i="108"/>
  <c r="G43" i="108"/>
  <c r="G41" i="108"/>
  <c r="G39" i="108"/>
  <c r="G37" i="108"/>
  <c r="G35" i="108"/>
  <c r="G33" i="108"/>
  <c r="G21" i="108"/>
  <c r="N21" i="108"/>
  <c r="G27" i="108"/>
  <c r="G23" i="108"/>
  <c r="G30" i="108"/>
  <c r="L26" i="108"/>
  <c r="G26" i="108"/>
  <c r="K23" i="108"/>
  <c r="L22" i="108"/>
  <c r="G22" i="108"/>
  <c r="L29" i="108"/>
  <c r="G29" i="108"/>
  <c r="L25" i="108"/>
  <c r="G25" i="108"/>
  <c r="K22" i="108"/>
  <c r="S21" i="108"/>
  <c r="V21" i="108"/>
  <c r="V8" i="123"/>
  <c r="BN8" i="123" s="1"/>
  <c r="R19" i="108"/>
  <c r="G20" i="108"/>
  <c r="V28" i="123"/>
  <c r="BN28" i="123" s="1"/>
  <c r="V26" i="123"/>
  <c r="BN26" i="123"/>
  <c r="V21" i="123"/>
  <c r="BN21" i="123" s="1"/>
  <c r="W20" i="123"/>
  <c r="BO20" i="123" s="1"/>
  <c r="X19" i="123"/>
  <c r="BP19" i="123" s="1"/>
  <c r="X24" i="123"/>
  <c r="BP24" i="123" s="1"/>
  <c r="X22" i="123"/>
  <c r="BP22" i="123" s="1"/>
  <c r="V20" i="123"/>
  <c r="W19" i="123"/>
  <c r="BO19" i="123" s="1"/>
  <c r="X18" i="123"/>
  <c r="BP18" i="123" s="1"/>
  <c r="X17" i="123"/>
  <c r="BP17" i="123" s="1"/>
  <c r="X16" i="123"/>
  <c r="BP16" i="123" s="1"/>
  <c r="X15" i="123"/>
  <c r="BP15" i="123" s="1"/>
  <c r="X14" i="123"/>
  <c r="BP14" i="123" s="1"/>
  <c r="X13" i="123"/>
  <c r="BP13" i="123" s="1"/>
  <c r="X12" i="123"/>
  <c r="BP12" i="123" s="1"/>
  <c r="X11" i="123"/>
  <c r="BP11" i="123" s="1"/>
  <c r="X10" i="123"/>
  <c r="BP10" i="123" s="1"/>
  <c r="X9" i="123"/>
  <c r="BP9" i="123" s="1"/>
  <c r="X8" i="123"/>
  <c r="BP8" i="123" s="1"/>
  <c r="I25" i="116"/>
  <c r="G18" i="108"/>
  <c r="N18" i="108" s="1"/>
  <c r="X28" i="123"/>
  <c r="BP28" i="123" s="1"/>
  <c r="X26" i="123"/>
  <c r="BP26" i="123"/>
  <c r="W24" i="123"/>
  <c r="BO24" i="123" s="1"/>
  <c r="W22" i="123"/>
  <c r="BO22" i="123" s="1"/>
  <c r="X21" i="123"/>
  <c r="BP21" i="123" s="1"/>
  <c r="V19" i="123"/>
  <c r="BN19" i="123" s="1"/>
  <c r="W18" i="123"/>
  <c r="BO18" i="123" s="1"/>
  <c r="W17" i="123"/>
  <c r="BO17" i="123"/>
  <c r="W16" i="123"/>
  <c r="BO16" i="123" s="1"/>
  <c r="W15" i="123"/>
  <c r="BO15" i="123" s="1"/>
  <c r="W14" i="123"/>
  <c r="BO14" i="123" s="1"/>
  <c r="W13" i="123"/>
  <c r="BO13" i="123" s="1"/>
  <c r="W12" i="123"/>
  <c r="BO12" i="123" s="1"/>
  <c r="W11" i="123"/>
  <c r="BO11" i="123" s="1"/>
  <c r="W10" i="123"/>
  <c r="BO10" i="123" s="1"/>
  <c r="W9" i="123"/>
  <c r="BO9" i="123" s="1"/>
  <c r="W8" i="123"/>
  <c r="BO8" i="123" s="1"/>
  <c r="AC15" i="108"/>
  <c r="W28" i="123"/>
  <c r="BO28" i="123" s="1"/>
  <c r="W26" i="123"/>
  <c r="BO26" i="123" s="1"/>
  <c r="V24" i="123"/>
  <c r="BN24" i="123" s="1"/>
  <c r="V22" i="123"/>
  <c r="W21" i="123"/>
  <c r="BO21" i="123" s="1"/>
  <c r="X20" i="123"/>
  <c r="BP20" i="123" s="1"/>
  <c r="V18" i="123"/>
  <c r="BN18" i="123" s="1"/>
  <c r="V17" i="123"/>
  <c r="BN17" i="123" s="1"/>
  <c r="V16" i="123"/>
  <c r="BN16" i="123"/>
  <c r="V15" i="123"/>
  <c r="BN15" i="123" s="1"/>
  <c r="V14" i="123"/>
  <c r="V13" i="123"/>
  <c r="BN13" i="123" s="1"/>
  <c r="V12" i="123"/>
  <c r="BN12" i="123"/>
  <c r="V11" i="123"/>
  <c r="BN11" i="123" s="1"/>
  <c r="V10" i="123"/>
  <c r="BN10" i="123" s="1"/>
  <c r="V9" i="123"/>
  <c r="AA84" i="116"/>
  <c r="Z81" i="116"/>
  <c r="AA69" i="116"/>
  <c r="I53" i="116"/>
  <c r="AA78" i="116"/>
  <c r="AA74" i="116"/>
  <c r="I55" i="116"/>
  <c r="I54" i="116"/>
  <c r="I52" i="116"/>
  <c r="Z44" i="116"/>
  <c r="Z32" i="116"/>
  <c r="AA12" i="116"/>
  <c r="Y31" i="116"/>
  <c r="Z30" i="116"/>
  <c r="W221" i="110"/>
  <c r="W241" i="110"/>
  <c r="W35" i="110"/>
  <c r="W201" i="110"/>
  <c r="W178" i="110"/>
  <c r="W83" i="110"/>
  <c r="W45" i="110"/>
  <c r="W254" i="110"/>
  <c r="W217" i="110"/>
  <c r="W94" i="110"/>
  <c r="W117" i="110"/>
  <c r="W105" i="110"/>
  <c r="W98" i="110"/>
  <c r="W183" i="110"/>
  <c r="W179" i="110"/>
  <c r="W177" i="110"/>
  <c r="W175" i="110"/>
  <c r="W170" i="110"/>
  <c r="W120" i="110"/>
  <c r="W187" i="110"/>
  <c r="W102" i="110"/>
  <c r="W16" i="110"/>
  <c r="W27" i="110"/>
  <c r="W23" i="110"/>
  <c r="W17" i="110"/>
  <c r="W93" i="110"/>
  <c r="W89" i="110"/>
  <c r="W64" i="110"/>
  <c r="W85" i="110"/>
  <c r="W43" i="110"/>
  <c r="D482" i="110"/>
  <c r="C9" i="109"/>
  <c r="W276" i="110"/>
  <c r="W245" i="110"/>
  <c r="W233" i="110"/>
  <c r="G366" i="110"/>
  <c r="W260" i="110"/>
  <c r="W231" i="110"/>
  <c r="G474" i="110"/>
  <c r="G480" i="110" s="1"/>
  <c r="W74" i="110"/>
  <c r="W287" i="110"/>
  <c r="W243" i="110"/>
  <c r="W227" i="110"/>
  <c r="W199" i="110"/>
  <c r="W185" i="110"/>
  <c r="W182" i="110"/>
  <c r="W229" i="110"/>
  <c r="W225" i="110"/>
  <c r="W127" i="110"/>
  <c r="W126" i="110"/>
  <c r="W21" i="110"/>
  <c r="W13" i="110"/>
  <c r="W88" i="110"/>
  <c r="W84" i="110"/>
  <c r="W62" i="110"/>
  <c r="W73" i="110"/>
  <c r="W63" i="110"/>
  <c r="W76" i="110"/>
  <c r="G364" i="110"/>
  <c r="W283" i="110"/>
  <c r="W248" i="110"/>
  <c r="W247" i="110"/>
  <c r="W238" i="110"/>
  <c r="G369" i="110"/>
  <c r="G365" i="110"/>
  <c r="W279" i="110"/>
  <c r="W277" i="110"/>
  <c r="W271" i="110"/>
  <c r="W259" i="110"/>
  <c r="W257" i="110"/>
  <c r="W253" i="110"/>
  <c r="W208" i="110"/>
  <c r="W267" i="110"/>
  <c r="W266" i="110"/>
  <c r="W265" i="110"/>
  <c r="W263" i="110"/>
  <c r="W206" i="110"/>
  <c r="W200" i="110"/>
  <c r="W198" i="110"/>
  <c r="W196" i="110"/>
  <c r="W194" i="110"/>
  <c r="W192" i="110"/>
  <c r="W190" i="110"/>
  <c r="W188" i="110"/>
  <c r="W161" i="110"/>
  <c r="W157" i="110"/>
  <c r="W155" i="110"/>
  <c r="W153" i="110"/>
  <c r="W151" i="110"/>
  <c r="W147" i="110"/>
  <c r="W144" i="110"/>
  <c r="W142" i="110"/>
  <c r="W140" i="110"/>
  <c r="W138" i="110"/>
  <c r="W137" i="110"/>
  <c r="W131" i="110"/>
  <c r="W130" i="110"/>
  <c r="W162" i="110"/>
  <c r="W160" i="110"/>
  <c r="W156" i="110"/>
  <c r="W154" i="110"/>
  <c r="W149" i="110"/>
  <c r="W143" i="110"/>
  <c r="W141" i="110"/>
  <c r="W109" i="110"/>
  <c r="W30" i="110"/>
  <c r="W28" i="110"/>
  <c r="W96" i="110"/>
  <c r="W95" i="110"/>
  <c r="W15" i="110"/>
  <c r="W90" i="110"/>
  <c r="W80" i="110"/>
  <c r="W78" i="110"/>
  <c r="W71" i="110"/>
  <c r="W57" i="110"/>
  <c r="W55" i="110"/>
  <c r="W79" i="110"/>
  <c r="W77" i="110"/>
  <c r="W38" i="110"/>
  <c r="W41" i="110"/>
  <c r="W36" i="110"/>
  <c r="S360" i="108"/>
  <c r="W360" i="108"/>
  <c r="T307" i="108"/>
  <c r="Y307" i="108"/>
  <c r="S394" i="108"/>
  <c r="W394" i="108"/>
  <c r="S385" i="108"/>
  <c r="W385" i="108"/>
  <c r="S378" i="108"/>
  <c r="W378" i="108"/>
  <c r="S308" i="108"/>
  <c r="W308" i="108"/>
  <c r="N460" i="108"/>
  <c r="N441" i="108"/>
  <c r="N590" i="108"/>
  <c r="N792" i="108"/>
  <c r="N27" i="108"/>
  <c r="N771" i="108"/>
  <c r="N696" i="108"/>
  <c r="N287" i="108"/>
  <c r="N448" i="108"/>
  <c r="N458" i="108"/>
  <c r="N289" i="108"/>
  <c r="N181" i="108"/>
  <c r="N334" i="108"/>
  <c r="N856" i="108"/>
  <c r="N365" i="108"/>
  <c r="N253" i="108"/>
  <c r="N690" i="108"/>
  <c r="N741" i="108"/>
  <c r="N232" i="108"/>
  <c r="N588" i="108"/>
  <c r="N284" i="108"/>
  <c r="N369" i="108"/>
  <c r="N373" i="108"/>
  <c r="N539" i="108"/>
  <c r="N580" i="108"/>
  <c r="N584" i="108"/>
  <c r="N593" i="108"/>
  <c r="N601" i="108"/>
  <c r="N645" i="108"/>
  <c r="N653" i="108"/>
  <c r="N694" i="108"/>
  <c r="N794" i="108"/>
  <c r="N791" i="108"/>
  <c r="N821" i="108"/>
  <c r="N727" i="108"/>
  <c r="N523" i="108"/>
  <c r="N121" i="108"/>
  <c r="N249" i="108"/>
  <c r="N706" i="108"/>
  <c r="N26" i="108"/>
  <c r="N129" i="108"/>
  <c r="N212" i="108"/>
  <c r="N349" i="108"/>
  <c r="N410" i="108"/>
  <c r="N462" i="108"/>
  <c r="N486" i="108"/>
  <c r="N538" i="108"/>
  <c r="N544" i="108"/>
  <c r="N548" i="108"/>
  <c r="N176" i="108"/>
  <c r="N366" i="108"/>
  <c r="N459" i="108"/>
  <c r="N641" i="108"/>
  <c r="N649" i="108"/>
  <c r="N687" i="108"/>
  <c r="N521" i="108"/>
  <c r="N711" i="108"/>
  <c r="N699" i="108"/>
  <c r="N162" i="108"/>
  <c r="N170" i="108"/>
  <c r="N348" i="108"/>
  <c r="N412" i="108"/>
  <c r="N418" i="108"/>
  <c r="N510" i="108"/>
  <c r="N777" i="108"/>
  <c r="N799" i="108"/>
  <c r="N158" i="108"/>
  <c r="N173" i="108"/>
  <c r="N236" i="108"/>
  <c r="N313" i="108"/>
  <c r="N371" i="108"/>
  <c r="N359" i="108"/>
  <c r="N404" i="108"/>
  <c r="N421" i="108"/>
  <c r="N403" i="108"/>
  <c r="N407" i="108"/>
  <c r="N415" i="108"/>
  <c r="N444" i="108"/>
  <c r="N442" i="108"/>
  <c r="N495" i="108"/>
  <c r="N515" i="108"/>
  <c r="N542" i="108"/>
  <c r="N642" i="108"/>
  <c r="N646" i="108"/>
  <c r="N652" i="108"/>
  <c r="N656" i="108"/>
  <c r="N541" i="108"/>
  <c r="N595" i="108"/>
  <c r="N603" i="108"/>
  <c r="N555" i="108"/>
  <c r="N557" i="108"/>
  <c r="N559" i="108"/>
  <c r="N563" i="108"/>
  <c r="N565" i="108"/>
  <c r="N567" i="108"/>
  <c r="N571" i="108"/>
  <c r="N573" i="108"/>
  <c r="N575" i="108"/>
  <c r="N609" i="108"/>
  <c r="N621" i="108"/>
  <c r="N643" i="108"/>
  <c r="N651" i="108"/>
  <c r="N659" i="108"/>
  <c r="N667" i="108"/>
  <c r="N594" i="108"/>
  <c r="N673" i="108"/>
  <c r="N604" i="108"/>
  <c r="N638" i="108"/>
  <c r="N705" i="108"/>
  <c r="N776" i="108"/>
  <c r="N800" i="108"/>
  <c r="N753" i="108"/>
  <c r="N760" i="108"/>
  <c r="N795" i="108"/>
  <c r="N848" i="108"/>
  <c r="N767" i="108"/>
  <c r="N773" i="108"/>
  <c r="N779" i="108"/>
  <c r="N28" i="108"/>
  <c r="N97" i="108"/>
  <c r="N84" i="108"/>
  <c r="N110" i="108"/>
  <c r="N247" i="108"/>
  <c r="N178" i="108"/>
  <c r="N322" i="108"/>
  <c r="N492" i="108"/>
  <c r="N843" i="108"/>
  <c r="N718" i="108"/>
  <c r="N817" i="108"/>
  <c r="N840" i="108"/>
  <c r="N755" i="108"/>
  <c r="N806" i="108"/>
  <c r="N229" i="108"/>
  <c r="N248" i="108"/>
  <c r="N707" i="108"/>
  <c r="N715" i="108"/>
  <c r="N809" i="108"/>
  <c r="N83" i="108"/>
  <c r="N22" i="108"/>
  <c r="N79" i="108"/>
  <c r="N124" i="108"/>
  <c r="N128" i="108"/>
  <c r="N163" i="108"/>
  <c r="N153" i="108"/>
  <c r="N206" i="108"/>
  <c r="N368" i="108"/>
  <c r="N370" i="108"/>
  <c r="N372" i="108"/>
  <c r="N406" i="108"/>
  <c r="N454" i="108"/>
  <c r="N440" i="108"/>
  <c r="N499" i="108"/>
  <c r="N503" i="108"/>
  <c r="N546" i="108"/>
  <c r="N583" i="108"/>
  <c r="N614" i="108"/>
  <c r="N543" i="108"/>
  <c r="N551" i="108"/>
  <c r="N597" i="108"/>
  <c r="N605" i="108"/>
  <c r="N672" i="108"/>
  <c r="N586" i="108"/>
  <c r="N619" i="108"/>
  <c r="N625" i="108"/>
  <c r="N628" i="108"/>
  <c r="N665" i="108"/>
  <c r="N600" i="108"/>
  <c r="N634" i="108"/>
  <c r="N671" i="108"/>
  <c r="N713" i="108"/>
  <c r="N761" i="108"/>
  <c r="N743" i="108"/>
  <c r="N751" i="108"/>
  <c r="N762" i="108"/>
  <c r="N815" i="108"/>
  <c r="N831" i="108"/>
  <c r="N750" i="108"/>
  <c r="N769" i="108"/>
  <c r="N775" i="108"/>
  <c r="N785" i="108"/>
  <c r="N174" i="108"/>
  <c r="N231" i="108"/>
  <c r="N256" i="108"/>
  <c r="N272" i="108"/>
  <c r="N273" i="108"/>
  <c r="N328" i="108"/>
  <c r="N336" i="108"/>
  <c r="N320" i="108"/>
  <c r="N324" i="108"/>
  <c r="N376" i="108"/>
  <c r="N477" i="108"/>
  <c r="N488" i="108"/>
  <c r="N721" i="108"/>
  <c r="N813" i="108"/>
  <c r="N823" i="108"/>
  <c r="N829" i="108"/>
  <c r="N839" i="108"/>
  <c r="N691" i="108"/>
  <c r="N824" i="108"/>
  <c r="N844" i="108"/>
  <c r="N731" i="108"/>
  <c r="N745" i="108"/>
  <c r="N113" i="108"/>
  <c r="N107" i="108"/>
  <c r="N243" i="108"/>
  <c r="N189" i="108"/>
  <c r="N254" i="108"/>
  <c r="N288" i="108"/>
  <c r="N251" i="108"/>
  <c r="N354" i="108"/>
  <c r="N337" i="108"/>
  <c r="N341" i="108"/>
  <c r="N461" i="108"/>
  <c r="N457" i="108"/>
  <c r="N838" i="108"/>
  <c r="N847" i="108"/>
  <c r="N321" i="108"/>
  <c r="N332" i="108"/>
  <c r="N451" i="108"/>
  <c r="N447" i="108"/>
  <c r="N25" i="108"/>
  <c r="N23" i="108"/>
  <c r="N154" i="108"/>
  <c r="N165" i="108"/>
  <c r="N169" i="108"/>
  <c r="N240" i="108"/>
  <c r="N207" i="108"/>
  <c r="N408" i="108"/>
  <c r="N414" i="108"/>
  <c r="N405" i="108"/>
  <c r="N409" i="108"/>
  <c r="N413" i="108"/>
  <c r="N419" i="108"/>
  <c r="N476" i="108"/>
  <c r="N682" i="108"/>
  <c r="N534" i="108"/>
  <c r="N540" i="108"/>
  <c r="N529" i="108"/>
  <c r="N531" i="108"/>
  <c r="N549" i="108"/>
  <c r="N599" i="108"/>
  <c r="N607" i="108"/>
  <c r="N617" i="108"/>
  <c r="N623" i="108"/>
  <c r="N602" i="108"/>
  <c r="N636" i="108"/>
  <c r="N630" i="108"/>
  <c r="N693" i="108"/>
  <c r="N778" i="108"/>
  <c r="N758" i="108"/>
  <c r="N793" i="108"/>
  <c r="N797" i="108"/>
  <c r="N748" i="108"/>
  <c r="N781" i="108"/>
  <c r="N790" i="108"/>
  <c r="N15" i="108"/>
  <c r="N93" i="108"/>
  <c r="N144" i="108"/>
  <c r="N183" i="108"/>
  <c r="N175" i="108"/>
  <c r="N179" i="108"/>
  <c r="N265" i="108"/>
  <c r="N326" i="108"/>
  <c r="N733" i="108"/>
  <c r="N737" i="108"/>
  <c r="N853" i="108"/>
  <c r="N854" i="108"/>
  <c r="N675" i="108"/>
  <c r="N100" i="108"/>
  <c r="N449" i="108"/>
  <c r="N16" i="108"/>
  <c r="N117" i="108"/>
  <c r="N325" i="108"/>
  <c r="N118" i="108"/>
  <c r="N417" i="108"/>
  <c r="N498" i="108"/>
  <c r="N535" i="108"/>
  <c r="N615" i="108"/>
  <c r="N657" i="108"/>
  <c r="N598" i="108"/>
  <c r="N708" i="108"/>
  <c r="N783" i="108"/>
  <c r="N286" i="108"/>
  <c r="N833" i="108"/>
  <c r="N811" i="108"/>
  <c r="N677" i="108"/>
  <c r="N859" i="108"/>
  <c r="N106" i="108"/>
  <c r="N223" i="108"/>
  <c r="N390" i="108"/>
  <c r="W69" i="110"/>
  <c r="W270" i="110"/>
  <c r="W216" i="110"/>
  <c r="W244" i="110"/>
  <c r="W29" i="110"/>
  <c r="W100" i="110"/>
  <c r="T65" i="108"/>
  <c r="X65" i="108"/>
  <c r="T55" i="108"/>
  <c r="X55" i="108"/>
  <c r="T72" i="108"/>
  <c r="X72" i="108"/>
  <c r="T77" i="108"/>
  <c r="T692" i="108"/>
  <c r="Y692" i="108"/>
  <c r="T75" i="108"/>
  <c r="Y75" i="108"/>
  <c r="R36" i="108"/>
  <c r="S36" i="108"/>
  <c r="W36" i="108"/>
  <c r="R65" i="108"/>
  <c r="S65" i="108"/>
  <c r="V65" i="108"/>
  <c r="T60" i="108"/>
  <c r="X60" i="108"/>
  <c r="S58" i="108"/>
  <c r="V58" i="108"/>
  <c r="T78" i="108"/>
  <c r="X78" i="108"/>
  <c r="S62" i="108"/>
  <c r="V62" i="108"/>
  <c r="T62" i="108"/>
  <c r="X62" i="108"/>
  <c r="T683" i="108"/>
  <c r="X683" i="108"/>
  <c r="R77" i="108"/>
  <c r="S77" i="108"/>
  <c r="T71" i="108"/>
  <c r="X71" i="108"/>
  <c r="T57" i="108"/>
  <c r="X57" i="108"/>
  <c r="T36" i="108"/>
  <c r="Y36" i="108"/>
  <c r="S55" i="108"/>
  <c r="V55" i="108"/>
  <c r="R72" i="108"/>
  <c r="S72" i="108"/>
  <c r="V72" i="108"/>
  <c r="R257" i="108"/>
  <c r="S257" i="108"/>
  <c r="V257" i="108"/>
  <c r="S66" i="108"/>
  <c r="V66" i="108"/>
  <c r="S74" i="108"/>
  <c r="V74" i="108"/>
  <c r="T59" i="108"/>
  <c r="S69" i="108"/>
  <c r="V69" i="108"/>
  <c r="T56" i="108"/>
  <c r="X56" i="108"/>
  <c r="R683" i="108"/>
  <c r="S683" i="108"/>
  <c r="V683" i="108"/>
  <c r="R60" i="108"/>
  <c r="S60" i="108"/>
  <c r="V60" i="108"/>
  <c r="R75" i="108"/>
  <c r="S75" i="108"/>
  <c r="W75" i="108"/>
  <c r="S695" i="108"/>
  <c r="W695" i="108"/>
  <c r="R692" i="108"/>
  <c r="S692" i="108"/>
  <c r="W692" i="108"/>
  <c r="T257" i="108"/>
  <c r="X257" i="108"/>
  <c r="R78" i="108"/>
  <c r="S78" i="108"/>
  <c r="V78" i="108"/>
  <c r="S70" i="108"/>
  <c r="V70" i="108"/>
  <c r="R59" i="108"/>
  <c r="S59" i="108"/>
  <c r="S20" i="108"/>
  <c r="V20" i="108"/>
  <c r="S64" i="108"/>
  <c r="V64" i="108"/>
  <c r="N298" i="108"/>
  <c r="N592" i="108"/>
  <c r="N620" i="108"/>
  <c r="N119" i="108"/>
  <c r="N616" i="108"/>
  <c r="N629" i="108"/>
  <c r="N759" i="108"/>
  <c r="N456" i="108"/>
  <c r="N574" i="108"/>
  <c r="N585" i="108"/>
  <c r="N342" i="108"/>
  <c r="N684" i="108"/>
  <c r="N640" i="108"/>
  <c r="N747" i="108"/>
  <c r="N666" i="108"/>
  <c r="N692" i="108"/>
  <c r="N558" i="108"/>
  <c r="N560" i="108"/>
  <c r="N570" i="108"/>
  <c r="N763" i="108"/>
  <c r="N801" i="108"/>
  <c r="W25" i="110"/>
  <c r="Y8" i="116"/>
  <c r="I49" i="116"/>
  <c r="O58" i="116"/>
  <c r="O56" i="116"/>
  <c r="I39" i="116"/>
  <c r="I21" i="116"/>
  <c r="I44" i="116"/>
  <c r="I11" i="116"/>
  <c r="I5" i="116"/>
  <c r="N217" i="108"/>
  <c r="N550" i="108"/>
  <c r="N770" i="108"/>
  <c r="N782" i="108"/>
  <c r="N484" i="108"/>
  <c r="N285" i="108"/>
  <c r="N796" i="108"/>
  <c r="N85" i="108"/>
  <c r="N252" i="108"/>
  <c r="N525" i="108"/>
  <c r="N739" i="108"/>
  <c r="N489" i="108"/>
  <c r="Y23" i="116"/>
  <c r="N450" i="108"/>
  <c r="N566" i="108"/>
  <c r="N572" i="108"/>
  <c r="N768" i="108"/>
  <c r="N784" i="108"/>
  <c r="O12" i="108"/>
  <c r="F862" i="108" s="1"/>
  <c r="N729" i="108"/>
  <c r="G472" i="110"/>
  <c r="N527" i="108"/>
  <c r="N102" i="108"/>
  <c r="N239" i="108"/>
  <c r="N142" i="108"/>
  <c r="N227" i="108"/>
  <c r="N389" i="108"/>
  <c r="N814" i="108"/>
  <c r="N579" i="108"/>
  <c r="N772" i="108"/>
  <c r="N88" i="108"/>
  <c r="N514" i="108"/>
  <c r="N786" i="108"/>
  <c r="N788" i="108"/>
  <c r="N213" i="108"/>
  <c r="N719" i="108"/>
  <c r="N338" i="108"/>
  <c r="N493" i="108"/>
  <c r="N467" i="108"/>
  <c r="N685" i="108"/>
  <c r="N842" i="108"/>
  <c r="N852" i="108"/>
  <c r="N618" i="108"/>
  <c r="N528" i="108"/>
  <c r="N530" i="108"/>
  <c r="S420" i="108"/>
  <c r="W420" i="108"/>
  <c r="N468" i="108"/>
  <c r="N658" i="108"/>
  <c r="N654" i="108"/>
  <c r="N662" i="108"/>
  <c r="N746" i="108"/>
  <c r="N452" i="108"/>
  <c r="N532" i="108"/>
  <c r="N517" i="108"/>
  <c r="S374" i="108"/>
  <c r="W374" i="108"/>
  <c r="S18" i="108"/>
  <c r="V18" i="108"/>
  <c r="T74" i="108"/>
  <c r="X74" i="108"/>
  <c r="R69" i="108"/>
  <c r="R62" i="108"/>
  <c r="R74" i="108"/>
  <c r="R18" i="108"/>
  <c r="N300" i="110"/>
  <c r="S355" i="108"/>
  <c r="W355" i="108"/>
  <c r="N738" i="108"/>
  <c r="T20" i="108"/>
  <c r="X20" i="108"/>
  <c r="W107" i="110"/>
  <c r="W171" i="110"/>
  <c r="W112" i="110"/>
  <c r="W166" i="110"/>
  <c r="W91" i="110"/>
  <c r="N302" i="110"/>
  <c r="W235" i="110"/>
  <c r="W181" i="110"/>
  <c r="W134" i="110"/>
  <c r="W99" i="110"/>
  <c r="W66" i="110"/>
  <c r="T18" i="108"/>
  <c r="X18" i="108"/>
  <c r="S49" i="108"/>
  <c r="W49" i="108"/>
  <c r="S388" i="108"/>
  <c r="W388" i="108"/>
  <c r="R388" i="108"/>
  <c r="S347" i="108"/>
  <c r="W347" i="108"/>
  <c r="T388" i="108"/>
  <c r="Y388" i="108"/>
  <c r="S19" i="108"/>
  <c r="V19" i="108"/>
  <c r="R58" i="108"/>
  <c r="T64" i="108"/>
  <c r="X64" i="108"/>
  <c r="S350" i="108"/>
  <c r="W350" i="108"/>
  <c r="N381" i="108"/>
  <c r="N391" i="108"/>
  <c r="N397" i="108"/>
  <c r="S63" i="108"/>
  <c r="N77" i="108"/>
  <c r="N701" i="108"/>
  <c r="S351" i="108"/>
  <c r="W351" i="108"/>
  <c r="T394" i="108"/>
  <c r="Y394" i="108"/>
  <c r="N749" i="108"/>
  <c r="N820" i="108"/>
  <c r="N99" i="108"/>
  <c r="N38" i="108"/>
  <c r="N237" i="108"/>
  <c r="N225" i="108"/>
  <c r="N270" i="108"/>
  <c r="N335" i="108"/>
  <c r="N361" i="108"/>
  <c r="N396" i="108"/>
  <c r="N803" i="108"/>
  <c r="N346" i="108"/>
  <c r="N496" i="108"/>
  <c r="N469" i="108"/>
  <c r="N826" i="108"/>
  <c r="N205" i="108"/>
  <c r="N215" i="108"/>
  <c r="N114" i="108"/>
  <c r="N246" i="108"/>
  <c r="N296" i="108"/>
  <c r="N301" i="108"/>
  <c r="N426" i="108"/>
  <c r="N438" i="108"/>
  <c r="N732" i="108"/>
  <c r="N95" i="108"/>
  <c r="N364" i="108"/>
  <c r="N455" i="108"/>
  <c r="N185" i="108"/>
  <c r="N104" i="108"/>
  <c r="N145" i="108"/>
  <c r="N190" i="108"/>
  <c r="N279" i="108"/>
  <c r="N283" i="108"/>
  <c r="N375" i="108"/>
  <c r="N400" i="108"/>
  <c r="N511" i="108"/>
  <c r="N720" i="108"/>
  <c r="N808" i="108"/>
  <c r="N474" i="108"/>
  <c r="N120" i="108"/>
  <c r="N48" i="108"/>
  <c r="N116" i="108"/>
  <c r="N345" i="108"/>
  <c r="N268" i="108"/>
  <c r="T347" i="108"/>
  <c r="Y347" i="108"/>
  <c r="T350" i="108"/>
  <c r="Y350" i="108"/>
  <c r="N752" i="108"/>
  <c r="N82" i="108"/>
  <c r="N209" i="108"/>
  <c r="N481" i="108"/>
  <c r="N24" i="108"/>
  <c r="N716" i="108"/>
  <c r="N676" i="108"/>
  <c r="N463" i="108"/>
  <c r="N505" i="108"/>
  <c r="N730" i="108"/>
  <c r="N323" i="108"/>
  <c r="N201" i="108"/>
  <c r="N473" i="108"/>
  <c r="N465" i="108"/>
  <c r="N736" i="108"/>
  <c r="N379" i="108"/>
  <c r="N688" i="108"/>
  <c r="N485" i="108"/>
  <c r="N846" i="108"/>
  <c r="N828" i="108"/>
  <c r="N197" i="108"/>
  <c r="N851" i="108"/>
  <c r="N512" i="108"/>
  <c r="N480" i="108"/>
  <c r="N333" i="108"/>
  <c r="N245" i="108"/>
  <c r="N509" i="108"/>
  <c r="N734" i="108"/>
  <c r="N475" i="108"/>
  <c r="N500" i="108"/>
  <c r="N44" i="108"/>
  <c r="N103" i="108"/>
  <c r="N812" i="108"/>
  <c r="N92" i="108"/>
  <c r="N857" i="108"/>
  <c r="N827" i="108"/>
  <c r="N836" i="108"/>
  <c r="N834" i="108"/>
  <c r="N383" i="108"/>
  <c r="N816" i="108"/>
  <c r="N807" i="108"/>
  <c r="N445" i="108"/>
  <c r="N453" i="108"/>
  <c r="N744" i="108"/>
  <c r="N96" i="108"/>
  <c r="N233" i="108"/>
  <c r="N513" i="108"/>
  <c r="N841" i="108"/>
  <c r="N508" i="108"/>
  <c r="N818" i="108"/>
  <c r="N497" i="108"/>
  <c r="N257" i="108"/>
  <c r="N193" i="108"/>
  <c r="N504" i="108"/>
  <c r="N180" i="108"/>
  <c r="N822" i="108"/>
  <c r="N683" i="108"/>
  <c r="N36" i="108"/>
  <c r="N501" i="108"/>
  <c r="N714" i="108"/>
  <c r="N756" i="108"/>
  <c r="T360" i="108"/>
  <c r="Y360" i="108"/>
  <c r="N726" i="108"/>
  <c r="R355" i="108"/>
  <c r="R420" i="108"/>
  <c r="N703" i="108"/>
  <c r="R378" i="108"/>
  <c r="T308" i="108"/>
  <c r="Y308" i="108"/>
  <c r="T355" i="108"/>
  <c r="Y355" i="108"/>
  <c r="R308" i="108"/>
  <c r="T374" i="108"/>
  <c r="Y374" i="108"/>
  <c r="R49" i="108"/>
  <c r="N291" i="110"/>
  <c r="T695" i="108"/>
  <c r="Y695" i="108"/>
  <c r="R61" i="108"/>
  <c r="R76" i="108"/>
  <c r="T19" i="108"/>
  <c r="X19" i="108"/>
  <c r="R57" i="108"/>
  <c r="R56" i="108"/>
  <c r="T67" i="108"/>
  <c r="X67" i="108"/>
  <c r="T32" i="108"/>
  <c r="Y32" i="108"/>
  <c r="R695" i="108"/>
  <c r="S380" i="108"/>
  <c r="W380" i="108"/>
  <c r="S367" i="108"/>
  <c r="W367" i="108"/>
  <c r="R360" i="108"/>
  <c r="T420" i="108"/>
  <c r="Y420" i="108"/>
  <c r="R351" i="108"/>
  <c r="T385" i="108"/>
  <c r="Y385" i="108"/>
  <c r="T63" i="108"/>
  <c r="T351" i="108"/>
  <c r="Y351" i="108"/>
  <c r="R385" i="108"/>
  <c r="R374" i="108"/>
  <c r="T378" i="108"/>
  <c r="Y378" i="108"/>
  <c r="BN20" i="123"/>
  <c r="R350" i="108"/>
  <c r="R70" i="108"/>
  <c r="R66" i="108"/>
  <c r="S71" i="108"/>
  <c r="V71" i="108"/>
  <c r="R21" i="108"/>
  <c r="R63" i="108"/>
  <c r="N63" i="108"/>
  <c r="N49" i="108"/>
  <c r="R347" i="108"/>
  <c r="R32" i="108"/>
  <c r="R67" i="108"/>
  <c r="R73" i="108"/>
  <c r="T21" i="108"/>
  <c r="X21" i="108"/>
  <c r="T367" i="108"/>
  <c r="Y367" i="108"/>
  <c r="R394" i="108"/>
  <c r="R380" i="108"/>
  <c r="R367" i="108"/>
  <c r="T380" i="108"/>
  <c r="Y380" i="108"/>
  <c r="T54" i="108"/>
  <c r="Y54" i="108"/>
  <c r="T255" i="108"/>
  <c r="Y255" i="108"/>
  <c r="T678" i="108"/>
  <c r="Y678" i="108"/>
  <c r="T340" i="108"/>
  <c r="Y340" i="108"/>
  <c r="T680" i="108"/>
  <c r="Y680" i="108"/>
  <c r="T845" i="108"/>
  <c r="Y845" i="108"/>
  <c r="T860" i="108"/>
  <c r="R255" i="108"/>
  <c r="S255" i="108"/>
  <c r="W255" i="108"/>
  <c r="R680" i="108"/>
  <c r="S680" i="108"/>
  <c r="W680" i="108"/>
  <c r="S845" i="108"/>
  <c r="W845" i="108"/>
  <c r="R845" i="108"/>
  <c r="R678" i="108"/>
  <c r="S678" i="108"/>
  <c r="W678" i="108"/>
  <c r="S54" i="108"/>
  <c r="W54" i="108"/>
  <c r="R54" i="108"/>
  <c r="S340" i="108"/>
  <c r="W340" i="108"/>
  <c r="R340" i="108"/>
  <c r="R860" i="108"/>
  <c r="S860" i="108"/>
  <c r="N300" i="108"/>
  <c r="N309" i="108"/>
  <c r="N295" i="108"/>
  <c r="N382" i="108"/>
  <c r="N439" i="108"/>
  <c r="N399" i="108"/>
  <c r="N436" i="108"/>
  <c r="N482" i="108"/>
  <c r="N490" i="108"/>
  <c r="N352" i="108"/>
  <c r="N377" i="108"/>
  <c r="N384" i="108"/>
  <c r="N393" i="108"/>
  <c r="N402" i="108"/>
  <c r="N427" i="108"/>
  <c r="N431" i="108"/>
  <c r="N435" i="108"/>
  <c r="N428" i="108"/>
  <c r="N432" i="108"/>
  <c r="N470" i="108"/>
  <c r="N479" i="108"/>
  <c r="N41" i="108"/>
  <c r="N45" i="108"/>
  <c r="N98" i="108"/>
  <c r="N195" i="108"/>
  <c r="N208" i="108"/>
  <c r="N278" i="108"/>
  <c r="N282" i="108"/>
  <c r="N312" i="108"/>
  <c r="N339" i="108"/>
  <c r="N422" i="108"/>
  <c r="N522" i="108"/>
  <c r="N34" i="108"/>
  <c r="N182" i="108"/>
  <c r="N130" i="108"/>
  <c r="N35" i="108"/>
  <c r="N43" i="108"/>
  <c r="N52" i="108"/>
  <c r="N90" i="108"/>
  <c r="N101" i="108"/>
  <c r="N203" i="108"/>
  <c r="N263" i="108"/>
  <c r="N266" i="108"/>
  <c r="N276" i="108"/>
  <c r="N280" i="108"/>
  <c r="N331" i="108"/>
  <c r="N317" i="108"/>
  <c r="N293" i="108"/>
  <c r="N425" i="108"/>
  <c r="N430" i="108"/>
  <c r="N471" i="108"/>
  <c r="N491" i="108"/>
  <c r="N518" i="108"/>
  <c r="N526" i="108"/>
  <c r="N674" i="108"/>
  <c r="N700" i="108"/>
  <c r="N40" i="108"/>
  <c r="N87" i="108"/>
  <c r="N234" i="108"/>
  <c r="N161" i="108"/>
  <c r="N258" i="108"/>
  <c r="N177" i="108"/>
  <c r="E866" i="108"/>
  <c r="I26" i="115"/>
  <c r="J26" i="115"/>
  <c r="K26" i="115"/>
  <c r="G26" i="115"/>
  <c r="D26" i="115" s="1"/>
  <c r="H26" i="115"/>
  <c r="K25" i="115"/>
  <c r="H25" i="115"/>
  <c r="G25" i="115"/>
  <c r="D25" i="115" s="1"/>
  <c r="I25" i="115"/>
  <c r="J25" i="115"/>
  <c r="N307" i="108"/>
  <c r="R307" i="108"/>
  <c r="S307" i="108"/>
  <c r="W307" i="108"/>
  <c r="F866" i="108"/>
  <c r="C31" i="109"/>
  <c r="N297" i="110"/>
  <c r="N298" i="110"/>
  <c r="I29" i="115"/>
  <c r="J29" i="115"/>
  <c r="G29" i="115"/>
  <c r="K29" i="115"/>
  <c r="H29" i="115"/>
  <c r="H30" i="115"/>
  <c r="J30" i="115"/>
  <c r="K30" i="115"/>
  <c r="I30" i="115"/>
  <c r="G30" i="115"/>
  <c r="D30" i="115" s="1"/>
  <c r="K28" i="115"/>
  <c r="I28" i="115"/>
  <c r="N135" i="108"/>
  <c r="N147" i="108"/>
  <c r="N204" i="108"/>
  <c r="N220" i="108"/>
  <c r="N194" i="108"/>
  <c r="N210" i="108"/>
  <c r="N235" i="108"/>
  <c r="N226" i="108"/>
  <c r="N271" i="108"/>
  <c r="N306" i="108"/>
  <c r="N318" i="108"/>
  <c r="N292" i="108"/>
  <c r="N303" i="108"/>
  <c r="N319" i="108"/>
  <c r="N37" i="108"/>
  <c r="N146" i="108"/>
  <c r="N423" i="108"/>
  <c r="N724" i="108"/>
  <c r="N740" i="108"/>
  <c r="N810" i="108"/>
  <c r="N825" i="108"/>
  <c r="N494" i="108"/>
  <c r="N386" i="108"/>
  <c r="N53" i="108"/>
  <c r="N111" i="108"/>
  <c r="N132" i="108"/>
  <c r="N136" i="108"/>
  <c r="N149" i="108"/>
  <c r="N187" i="108"/>
  <c r="N192" i="108"/>
  <c r="N198" i="108"/>
  <c r="N250" i="108"/>
  <c r="N344" i="108"/>
  <c r="N294" i="108"/>
  <c r="N353" i="108"/>
  <c r="N387" i="108"/>
  <c r="N398" i="108"/>
  <c r="N395" i="108"/>
  <c r="N401" i="108"/>
  <c r="N434" i="108"/>
  <c r="N356" i="108"/>
  <c r="N33" i="108"/>
  <c r="N94" i="108"/>
  <c r="N138" i="108"/>
  <c r="N143" i="108"/>
  <c r="N137" i="108"/>
  <c r="N148" i="108"/>
  <c r="N191" i="108"/>
  <c r="N196" i="108"/>
  <c r="N186" i="108"/>
  <c r="N302" i="108"/>
  <c r="N310" i="108"/>
  <c r="N311" i="108"/>
  <c r="N291" i="108"/>
  <c r="N343" i="108"/>
  <c r="N429" i="108"/>
  <c r="N437" i="108"/>
  <c r="N516" i="108"/>
  <c r="N122" i="108"/>
  <c r="N134" i="108"/>
  <c r="N200" i="108"/>
  <c r="N218" i="108"/>
  <c r="N261" i="108"/>
  <c r="N267" i="108"/>
  <c r="N277" i="108"/>
  <c r="N281" i="108"/>
  <c r="N304" i="108"/>
  <c r="N316" i="108"/>
  <c r="N357" i="108"/>
  <c r="N290" i="108"/>
  <c r="N363" i="108"/>
  <c r="N487" i="108"/>
  <c r="N507" i="108"/>
  <c r="N524" i="108"/>
  <c r="N698" i="108"/>
  <c r="Z860" i="108"/>
  <c r="J28" i="115"/>
  <c r="H28" i="115"/>
  <c r="O13" i="108"/>
  <c r="N296" i="110"/>
  <c r="G28" i="115"/>
  <c r="J9" i="108"/>
  <c r="H10" i="108"/>
  <c r="S10" i="108" s="1"/>
  <c r="W10" i="108" s="1"/>
  <c r="L10" i="108"/>
  <c r="N10" i="108" s="1"/>
  <c r="H12" i="108"/>
  <c r="L12" i="108"/>
  <c r="K9" i="108"/>
  <c r="I10" i="108"/>
  <c r="M10" i="108"/>
  <c r="I12" i="108"/>
  <c r="M12" i="108"/>
  <c r="K13" i="108"/>
  <c r="L9" i="108"/>
  <c r="J10" i="108"/>
  <c r="J12" i="108"/>
  <c r="I9" i="108"/>
  <c r="K10" i="108"/>
  <c r="H293" i="110"/>
  <c r="L296" i="110"/>
  <c r="J297" i="110"/>
  <c r="H300" i="110"/>
  <c r="L300" i="110"/>
  <c r="H302" i="110"/>
  <c r="L302" i="110"/>
  <c r="I293" i="110"/>
  <c r="I296" i="110"/>
  <c r="I298" i="110"/>
  <c r="M298" i="110"/>
  <c r="M300" i="110"/>
  <c r="I302" i="110"/>
  <c r="M302" i="110"/>
  <c r="L295" i="110"/>
  <c r="J296" i="110"/>
  <c r="H297" i="110"/>
  <c r="L297" i="110"/>
  <c r="J298" i="110"/>
  <c r="J300" i="110"/>
  <c r="J302" i="110"/>
  <c r="I295" i="110"/>
  <c r="I297" i="110"/>
  <c r="G27" i="115"/>
  <c r="H27" i="115"/>
  <c r="J27" i="115"/>
  <c r="I27" i="115"/>
  <c r="K27" i="115"/>
  <c r="M291" i="110"/>
  <c r="I291" i="110"/>
  <c r="L291" i="110"/>
  <c r="K291" i="110"/>
  <c r="O14" i="108"/>
  <c r="L14" i="108"/>
  <c r="I14" i="108"/>
  <c r="K14" i="108"/>
  <c r="M14" i="108"/>
  <c r="H14" i="108"/>
  <c r="J14" i="108"/>
  <c r="C35" i="109"/>
  <c r="N108" i="108"/>
  <c r="R12" i="108"/>
  <c r="S12" i="108"/>
  <c r="W12" i="108" s="1"/>
  <c r="M305" i="110"/>
  <c r="I305" i="110"/>
  <c r="J305" i="110"/>
  <c r="H305" i="110"/>
  <c r="J294" i="110"/>
  <c r="O9" i="108"/>
  <c r="I13" i="108"/>
  <c r="T13" i="108" s="1"/>
  <c r="Y13" i="108" s="1"/>
  <c r="L13" i="108"/>
  <c r="H9" i="108"/>
  <c r="S9" i="108" s="1"/>
  <c r="W9" i="108" s="1"/>
  <c r="J13" i="108"/>
  <c r="R10" i="108"/>
  <c r="M862" i="108"/>
  <c r="AS75" i="116" l="1"/>
  <c r="AR7" i="116"/>
  <c r="I403" i="110"/>
  <c r="W403" i="110" s="1"/>
  <c r="AR5" i="116"/>
  <c r="I395" i="110"/>
  <c r="W395" i="110" s="1"/>
  <c r="R29" i="116"/>
  <c r="M394" i="110" s="1"/>
  <c r="AT73" i="116"/>
  <c r="AR61" i="116"/>
  <c r="AR43" i="116"/>
  <c r="AS38" i="116"/>
  <c r="AS31" i="116"/>
  <c r="AT75" i="116"/>
  <c r="R77" i="116"/>
  <c r="M441" i="110" s="1"/>
  <c r="AT84" i="116"/>
  <c r="AR31" i="116"/>
  <c r="AS15" i="116"/>
  <c r="AS13" i="116"/>
  <c r="AR78" i="116"/>
  <c r="AR77" i="116"/>
  <c r="AT74" i="116"/>
  <c r="AT72" i="116"/>
  <c r="AT71" i="116"/>
  <c r="AS55" i="116"/>
  <c r="AT54" i="116"/>
  <c r="AT52" i="116"/>
  <c r="AT51" i="116"/>
  <c r="AT50" i="116"/>
  <c r="AS40" i="116"/>
  <c r="AR38" i="116"/>
  <c r="C147" i="132"/>
  <c r="C549" i="132" s="1"/>
  <c r="G147" i="132"/>
  <c r="G549" i="132" s="1"/>
  <c r="C18" i="109" s="1"/>
  <c r="K147" i="132"/>
  <c r="K549" i="132" s="1"/>
  <c r="C22" i="109" s="1"/>
  <c r="J147" i="132"/>
  <c r="J549" i="132" s="1"/>
  <c r="C21" i="109" s="1"/>
  <c r="C23" i="109" s="1"/>
  <c r="O147" i="132"/>
  <c r="D147" i="132"/>
  <c r="D549" i="132" s="1"/>
  <c r="H147" i="132"/>
  <c r="H549" i="132" s="1"/>
  <c r="C19" i="109" s="1"/>
  <c r="L147" i="132"/>
  <c r="N147" i="132" s="1"/>
  <c r="Q20" i="116"/>
  <c r="L385" i="110" s="1"/>
  <c r="W385" i="110" s="1"/>
  <c r="AS17" i="116"/>
  <c r="P24" i="116"/>
  <c r="K389" i="110" s="1"/>
  <c r="AR54" i="116"/>
  <c r="P40" i="116"/>
  <c r="K405" i="110" s="1"/>
  <c r="P53" i="116"/>
  <c r="K418" i="110" s="1"/>
  <c r="AS12" i="116"/>
  <c r="AT78" i="116"/>
  <c r="AR62" i="116"/>
  <c r="AS41" i="116"/>
  <c r="AT41" i="116"/>
  <c r="AT29" i="116"/>
  <c r="AR19" i="116"/>
  <c r="C16" i="115"/>
  <c r="AR83" i="116"/>
  <c r="AS52" i="116"/>
  <c r="AS50" i="116"/>
  <c r="AS49" i="116"/>
  <c r="AT45" i="116"/>
  <c r="AS35" i="116"/>
  <c r="AR36" i="116"/>
  <c r="AS83" i="116"/>
  <c r="AT82" i="116"/>
  <c r="AS69" i="116"/>
  <c r="AT63" i="116"/>
  <c r="AT44" i="116"/>
  <c r="AR42" i="116"/>
  <c r="AT33" i="116"/>
  <c r="AR15" i="116"/>
  <c r="AR13" i="116"/>
  <c r="AR10" i="116"/>
  <c r="AT7" i="116"/>
  <c r="C17" i="115"/>
  <c r="C18" i="115"/>
  <c r="AT79" i="116"/>
  <c r="AR71" i="116"/>
  <c r="AR69" i="116"/>
  <c r="AS45" i="116"/>
  <c r="AS43" i="116"/>
  <c r="AT39" i="116"/>
  <c r="AS33" i="116"/>
  <c r="AS32" i="116"/>
  <c r="AT31" i="116"/>
  <c r="AR28" i="116"/>
  <c r="AR27" i="116"/>
  <c r="AS19" i="116"/>
  <c r="AT5" i="116"/>
  <c r="J19" i="115"/>
  <c r="AR63" i="116"/>
  <c r="AT56" i="116"/>
  <c r="AT49" i="116"/>
  <c r="AT35" i="116"/>
  <c r="AR59" i="116"/>
  <c r="O45" i="116"/>
  <c r="J410" i="110" s="1"/>
  <c r="N50" i="116"/>
  <c r="I415" i="110" s="1"/>
  <c r="AS71" i="116"/>
  <c r="AS23" i="116"/>
  <c r="O54" i="116"/>
  <c r="J419" i="110" s="1"/>
  <c r="AT40" i="116"/>
  <c r="I436" i="110"/>
  <c r="W436" i="110" s="1"/>
  <c r="Q57" i="116"/>
  <c r="L422" i="110" s="1"/>
  <c r="W422" i="110" s="1"/>
  <c r="I401" i="110"/>
  <c r="W401" i="110" s="1"/>
  <c r="AT47" i="116"/>
  <c r="Q70" i="116"/>
  <c r="L435" i="110" s="1"/>
  <c r="W435" i="110" s="1"/>
  <c r="AS39" i="116"/>
  <c r="AS37" i="116"/>
  <c r="AT53" i="116"/>
  <c r="I404" i="110"/>
  <c r="W404" i="110" s="1"/>
  <c r="O44" i="116"/>
  <c r="J409" i="110" s="1"/>
  <c r="M5" i="116"/>
  <c r="H370" i="110" s="1"/>
  <c r="P58" i="116"/>
  <c r="K423" i="110" s="1"/>
  <c r="AR73" i="116"/>
  <c r="AS53" i="116"/>
  <c r="AS82" i="116"/>
  <c r="M15" i="116"/>
  <c r="H380" i="110" s="1"/>
  <c r="O50" i="116"/>
  <c r="J415" i="110" s="1"/>
  <c r="N13" i="116"/>
  <c r="I378" i="110" s="1"/>
  <c r="O51" i="116"/>
  <c r="J416" i="110" s="1"/>
  <c r="O71" i="116"/>
  <c r="J436" i="110" s="1"/>
  <c r="AT65" i="116"/>
  <c r="J432" i="110"/>
  <c r="I421" i="110"/>
  <c r="W421" i="110" s="1"/>
  <c r="AR29" i="116"/>
  <c r="AR75" i="116"/>
  <c r="AT55" i="116"/>
  <c r="AT70" i="116"/>
  <c r="M42" i="116"/>
  <c r="H407" i="110" s="1"/>
  <c r="M10" i="116"/>
  <c r="H375" i="110" s="1"/>
  <c r="O52" i="116"/>
  <c r="R52" i="116" s="1"/>
  <c r="M417" i="110" s="1"/>
  <c r="O72" i="116"/>
  <c r="R72" i="116" s="1"/>
  <c r="M437" i="110" s="1"/>
  <c r="M38" i="116"/>
  <c r="H403" i="110" s="1"/>
  <c r="R50" i="116"/>
  <c r="M415" i="110" s="1"/>
  <c r="N52" i="116"/>
  <c r="I417" i="110" s="1"/>
  <c r="O79" i="116"/>
  <c r="R25" i="116"/>
  <c r="M390" i="110" s="1"/>
  <c r="R34" i="116"/>
  <c r="M399" i="110" s="1"/>
  <c r="AS73" i="116"/>
  <c r="P18" i="116"/>
  <c r="K383" i="110" s="1"/>
  <c r="Q58" i="116"/>
  <c r="L423" i="110" s="1"/>
  <c r="W423" i="110" s="1"/>
  <c r="AR11" i="116"/>
  <c r="AT34" i="116"/>
  <c r="AT48" i="116"/>
  <c r="AT46" i="116"/>
  <c r="AS68" i="116"/>
  <c r="AR81" i="116"/>
  <c r="AR68" i="116"/>
  <c r="AT77" i="116"/>
  <c r="AS27" i="116"/>
  <c r="AS72" i="116"/>
  <c r="AR39" i="116"/>
  <c r="AR82" i="116"/>
  <c r="AS81" i="116"/>
  <c r="AT69" i="116"/>
  <c r="AT68" i="116"/>
  <c r="P64" i="116"/>
  <c r="K429" i="110" s="1"/>
  <c r="H429" i="110"/>
  <c r="P39" i="116"/>
  <c r="K404" i="110" s="1"/>
  <c r="H404" i="110"/>
  <c r="R22" i="116"/>
  <c r="M387" i="110" s="1"/>
  <c r="J387" i="110"/>
  <c r="I425" i="110"/>
  <c r="Q60" i="116"/>
  <c r="L425" i="110" s="1"/>
  <c r="R24" i="116"/>
  <c r="M389" i="110" s="1"/>
  <c r="M31" i="116"/>
  <c r="J440" i="110"/>
  <c r="Q28" i="116"/>
  <c r="L393" i="110" s="1"/>
  <c r="W393" i="110" s="1"/>
  <c r="I424" i="110"/>
  <c r="W424" i="110" s="1"/>
  <c r="R66" i="116"/>
  <c r="M431" i="110" s="1"/>
  <c r="AS9" i="116"/>
  <c r="AS16" i="116"/>
  <c r="AR9" i="116"/>
  <c r="AR14" i="116"/>
  <c r="AT32" i="116"/>
  <c r="AT36" i="116"/>
  <c r="N43" i="116"/>
  <c r="I408" i="110" s="1"/>
  <c r="Q44" i="116"/>
  <c r="L409" i="110" s="1"/>
  <c r="W409" i="110" s="1"/>
  <c r="R57" i="116"/>
  <c r="M422" i="110" s="1"/>
  <c r="AT57" i="116"/>
  <c r="O7" i="116"/>
  <c r="J372" i="110" s="1"/>
  <c r="O33" i="116"/>
  <c r="R33" i="116" s="1"/>
  <c r="M398" i="110" s="1"/>
  <c r="N15" i="116"/>
  <c r="I380" i="110" s="1"/>
  <c r="AT25" i="116"/>
  <c r="P37" i="116"/>
  <c r="K402" i="110" s="1"/>
  <c r="AT28" i="116"/>
  <c r="AS84" i="116"/>
  <c r="Q27" i="116"/>
  <c r="L392" i="110" s="1"/>
  <c r="W392" i="110" s="1"/>
  <c r="AT83" i="116"/>
  <c r="AR35" i="116"/>
  <c r="AR32" i="116"/>
  <c r="AS30" i="116"/>
  <c r="AR21" i="116"/>
  <c r="AR18" i="116"/>
  <c r="AR17" i="116"/>
  <c r="AR6" i="116"/>
  <c r="P48" i="116"/>
  <c r="K413" i="110" s="1"/>
  <c r="AR30" i="116"/>
  <c r="O82" i="116"/>
  <c r="J446" i="110" s="1"/>
  <c r="P52" i="116"/>
  <c r="K417" i="110" s="1"/>
  <c r="H382" i="110"/>
  <c r="R14" i="116"/>
  <c r="M379" i="110" s="1"/>
  <c r="Q63" i="116"/>
  <c r="L428" i="110" s="1"/>
  <c r="W428" i="110" s="1"/>
  <c r="R59" i="116"/>
  <c r="M424" i="110" s="1"/>
  <c r="H373" i="110"/>
  <c r="AS36" i="116"/>
  <c r="R15" i="116"/>
  <c r="M380" i="110" s="1"/>
  <c r="AT27" i="116"/>
  <c r="AT24" i="116"/>
  <c r="AS61" i="116"/>
  <c r="AT60" i="116"/>
  <c r="AR53" i="116"/>
  <c r="AR52" i="116"/>
  <c r="AS47" i="116"/>
  <c r="AS44" i="116"/>
  <c r="AS42" i="116"/>
  <c r="AR41" i="116"/>
  <c r="R65" i="116"/>
  <c r="M430" i="110" s="1"/>
  <c r="J430" i="110"/>
  <c r="Q7" i="116"/>
  <c r="L372" i="110" s="1"/>
  <c r="I372" i="110"/>
  <c r="I399" i="110"/>
  <c r="W399" i="110" s="1"/>
  <c r="AS20" i="116"/>
  <c r="AS34" i="116"/>
  <c r="O39" i="116"/>
  <c r="J404" i="110" s="1"/>
  <c r="J435" i="110"/>
  <c r="R70" i="116"/>
  <c r="M435" i="110" s="1"/>
  <c r="P14" i="116"/>
  <c r="K379" i="110" s="1"/>
  <c r="H379" i="110"/>
  <c r="H385" i="110"/>
  <c r="P20" i="116"/>
  <c r="K385" i="110" s="1"/>
  <c r="AR57" i="116"/>
  <c r="M57" i="116"/>
  <c r="AR58" i="116"/>
  <c r="O5" i="116"/>
  <c r="J370" i="110" s="1"/>
  <c r="O31" i="116"/>
  <c r="J396" i="110" s="1"/>
  <c r="M72" i="116"/>
  <c r="H437" i="110" s="1"/>
  <c r="AR72" i="116"/>
  <c r="AR56" i="116"/>
  <c r="M56" i="116"/>
  <c r="N54" i="116"/>
  <c r="I419" i="110" s="1"/>
  <c r="AS54" i="116"/>
  <c r="I397" i="110"/>
  <c r="W397" i="110" s="1"/>
  <c r="J385" i="110"/>
  <c r="P26" i="116"/>
  <c r="K391" i="110" s="1"/>
  <c r="AS7" i="116"/>
  <c r="AS21" i="116"/>
  <c r="AR23" i="116"/>
  <c r="AT37" i="116"/>
  <c r="N33" i="116"/>
  <c r="Q33" i="116" s="1"/>
  <c r="L398" i="110" s="1"/>
  <c r="M28" i="116"/>
  <c r="P36" i="116"/>
  <c r="K401" i="110" s="1"/>
  <c r="AR79" i="116"/>
  <c r="M79" i="116"/>
  <c r="P79" i="116" s="1"/>
  <c r="K443" i="110" s="1"/>
  <c r="N78" i="116"/>
  <c r="Q78" i="116" s="1"/>
  <c r="L442" i="110" s="1"/>
  <c r="AS78" i="116"/>
  <c r="Q74" i="116"/>
  <c r="L438" i="110" s="1"/>
  <c r="I438" i="110"/>
  <c r="C13" i="115"/>
  <c r="R81" i="116"/>
  <c r="M445" i="110" s="1"/>
  <c r="R62" i="116"/>
  <c r="M427" i="110" s="1"/>
  <c r="R46" i="116"/>
  <c r="M411" i="110" s="1"/>
  <c r="R55" i="116"/>
  <c r="M420" i="110" s="1"/>
  <c r="R47" i="116"/>
  <c r="M412" i="110" s="1"/>
  <c r="AT30" i="116"/>
  <c r="AS51" i="116"/>
  <c r="O63" i="116"/>
  <c r="J428" i="110" s="1"/>
  <c r="N49" i="116"/>
  <c r="I414" i="110" s="1"/>
  <c r="N19" i="116"/>
  <c r="I384" i="110" s="1"/>
  <c r="G12" i="115"/>
  <c r="G19" i="115" s="1"/>
  <c r="D19" i="115"/>
  <c r="H442" i="110"/>
  <c r="P78" i="116"/>
  <c r="K442" i="110" s="1"/>
  <c r="AR22" i="116"/>
  <c r="M22" i="116"/>
  <c r="P22" i="116" s="1"/>
  <c r="K387" i="110" s="1"/>
  <c r="AS8" i="116"/>
  <c r="N8" i="116"/>
  <c r="I373" i="110" s="1"/>
  <c r="P54" i="116"/>
  <c r="K419" i="110" s="1"/>
  <c r="AR40" i="116"/>
  <c r="AS74" i="116"/>
  <c r="AT58" i="116"/>
  <c r="AR47" i="116"/>
  <c r="AR44" i="116"/>
  <c r="AT26" i="116"/>
  <c r="AT23" i="116"/>
  <c r="AT22" i="116"/>
  <c r="AS14" i="116"/>
  <c r="C15" i="115"/>
  <c r="AT76" i="116"/>
  <c r="AS67" i="116"/>
  <c r="AR66" i="116"/>
  <c r="AR65" i="116"/>
  <c r="AR64" i="116"/>
  <c r="AT62" i="116"/>
  <c r="AT61" i="116"/>
  <c r="AS25" i="116"/>
  <c r="AS24" i="116"/>
  <c r="AT20" i="116"/>
  <c r="AT19" i="116"/>
  <c r="AT12" i="116"/>
  <c r="AR20" i="116"/>
  <c r="AT16" i="116"/>
  <c r="AT15" i="116"/>
  <c r="AT14" i="116"/>
  <c r="AT9" i="116"/>
  <c r="P55" i="116"/>
  <c r="K420" i="110" s="1"/>
  <c r="I412" i="110"/>
  <c r="W412" i="110" s="1"/>
  <c r="Q48" i="116"/>
  <c r="L413" i="110" s="1"/>
  <c r="W413" i="110" s="1"/>
  <c r="Q69" i="116"/>
  <c r="L434" i="110" s="1"/>
  <c r="W434" i="110" s="1"/>
  <c r="N83" i="116"/>
  <c r="I447" i="110" s="1"/>
  <c r="M71" i="116"/>
  <c r="AT80" i="116"/>
  <c r="AS57" i="116"/>
  <c r="AR45" i="116"/>
  <c r="AR37" i="116"/>
  <c r="P25" i="116"/>
  <c r="K390" i="110" s="1"/>
  <c r="R18" i="116"/>
  <c r="M383" i="110" s="1"/>
  <c r="J403" i="110"/>
  <c r="P75" i="116"/>
  <c r="K439" i="110" s="1"/>
  <c r="AR84" i="116"/>
  <c r="R8" i="116"/>
  <c r="M373" i="110" s="1"/>
  <c r="R69" i="116"/>
  <c r="M434" i="110" s="1"/>
  <c r="R9" i="116"/>
  <c r="M374" i="110" s="1"/>
  <c r="AR80" i="116"/>
  <c r="AT64" i="116"/>
  <c r="AT81" i="116"/>
  <c r="O75" i="116"/>
  <c r="P62" i="116"/>
  <c r="K427" i="110" s="1"/>
  <c r="AS80" i="116"/>
  <c r="AS79" i="116"/>
  <c r="AS70" i="116"/>
  <c r="AS56" i="116"/>
  <c r="AS28" i="116"/>
  <c r="AS22" i="116"/>
  <c r="AS6" i="116"/>
  <c r="AS77" i="116"/>
  <c r="AS76" i="116"/>
  <c r="AR70" i="116"/>
  <c r="N67" i="116"/>
  <c r="AT66" i="116"/>
  <c r="AS59" i="116"/>
  <c r="AT38" i="116"/>
  <c r="AR26" i="116"/>
  <c r="AR25" i="116"/>
  <c r="AR24" i="116"/>
  <c r="AS11" i="116"/>
  <c r="AS10" i="116"/>
  <c r="AR8" i="116"/>
  <c r="AS5" i="116"/>
  <c r="H448" i="110"/>
  <c r="P84" i="116"/>
  <c r="K448" i="110" s="1"/>
  <c r="N24" i="116"/>
  <c r="Q42" i="116"/>
  <c r="L407" i="110" s="1"/>
  <c r="I407" i="110"/>
  <c r="H19" i="115"/>
  <c r="I14" i="115"/>
  <c r="C14" i="115"/>
  <c r="I12" i="115"/>
  <c r="C12" i="115"/>
  <c r="AR67" i="116"/>
  <c r="AS64" i="116"/>
  <c r="N64" i="116"/>
  <c r="H414" i="110"/>
  <c r="P49" i="116"/>
  <c r="K414" i="110" s="1"/>
  <c r="H397" i="110"/>
  <c r="P32" i="116"/>
  <c r="K397" i="110" s="1"/>
  <c r="P9" i="116"/>
  <c r="K374" i="110" s="1"/>
  <c r="H374" i="110"/>
  <c r="N26" i="116"/>
  <c r="AS26" i="116"/>
  <c r="R40" i="116"/>
  <c r="M405" i="110" s="1"/>
  <c r="J405" i="110"/>
  <c r="AR76" i="116"/>
  <c r="M76" i="116"/>
  <c r="P76" i="116" s="1"/>
  <c r="K440" i="110" s="1"/>
  <c r="H432" i="110"/>
  <c r="P67" i="116"/>
  <c r="K432" i="110" s="1"/>
  <c r="N65" i="116"/>
  <c r="I430" i="110" s="1"/>
  <c r="AS65" i="116"/>
  <c r="M60" i="116"/>
  <c r="AR60" i="116"/>
  <c r="P59" i="116"/>
  <c r="K424" i="110" s="1"/>
  <c r="M51" i="116"/>
  <c r="AR51" i="116"/>
  <c r="M50" i="116"/>
  <c r="AR50" i="116"/>
  <c r="P74" i="116"/>
  <c r="K438" i="110" s="1"/>
  <c r="H424" i="110"/>
  <c r="E19" i="115"/>
  <c r="Q41" i="116"/>
  <c r="L406" i="110" s="1"/>
  <c r="W406" i="110" s="1"/>
  <c r="P47" i="116"/>
  <c r="K412" i="110" s="1"/>
  <c r="H412" i="110"/>
  <c r="AR12" i="116"/>
  <c r="M12" i="116"/>
  <c r="AT11" i="116"/>
  <c r="O11" i="116"/>
  <c r="J376" i="110" s="1"/>
  <c r="AT10" i="116"/>
  <c r="O10" i="116"/>
  <c r="H378" i="110"/>
  <c r="P13" i="116"/>
  <c r="K378" i="110" s="1"/>
  <c r="P23" i="116"/>
  <c r="K388" i="110" s="1"/>
  <c r="H388" i="110"/>
  <c r="AT43" i="116"/>
  <c r="O43" i="116"/>
  <c r="AT42" i="116"/>
  <c r="O42" i="116"/>
  <c r="R42" i="116" s="1"/>
  <c r="M407" i="110" s="1"/>
  <c r="J384" i="110"/>
  <c r="N18" i="116"/>
  <c r="I383" i="110" s="1"/>
  <c r="AS18" i="116"/>
  <c r="Q55" i="116"/>
  <c r="L420" i="110" s="1"/>
  <c r="I420" i="110"/>
  <c r="I370" i="110"/>
  <c r="W370" i="110" s="1"/>
  <c r="R17" i="116"/>
  <c r="M382" i="110" s="1"/>
  <c r="I374" i="110"/>
  <c r="W374" i="110" s="1"/>
  <c r="I443" i="110"/>
  <c r="W443" i="110" s="1"/>
  <c r="J444" i="110"/>
  <c r="R30" i="116"/>
  <c r="M395" i="110" s="1"/>
  <c r="J395" i="110"/>
  <c r="J402" i="110"/>
  <c r="R37" i="116"/>
  <c r="M402" i="110" s="1"/>
  <c r="Q10" i="116"/>
  <c r="L375" i="110" s="1"/>
  <c r="I375" i="110"/>
  <c r="I381" i="110"/>
  <c r="W381" i="110" s="1"/>
  <c r="Q81" i="116"/>
  <c r="L445" i="110" s="1"/>
  <c r="W445" i="110" s="1"/>
  <c r="J400" i="110"/>
  <c r="P63" i="116"/>
  <c r="K428" i="110" s="1"/>
  <c r="I433" i="110"/>
  <c r="W433" i="110" s="1"/>
  <c r="I444" i="110"/>
  <c r="W444" i="110" s="1"/>
  <c r="Q37" i="116"/>
  <c r="L402" i="110" s="1"/>
  <c r="I402" i="110"/>
  <c r="P29" i="116"/>
  <c r="K394" i="110" s="1"/>
  <c r="H394" i="110"/>
  <c r="Q11" i="116"/>
  <c r="L376" i="110" s="1"/>
  <c r="I376" i="110"/>
  <c r="Q23" i="116"/>
  <c r="L388" i="110" s="1"/>
  <c r="I388" i="110"/>
  <c r="AR49" i="116"/>
  <c r="AT6" i="116"/>
  <c r="O6" i="116"/>
  <c r="J371" i="110" s="1"/>
  <c r="N46" i="116"/>
  <c r="AS46" i="116"/>
  <c r="AR34" i="116"/>
  <c r="M34" i="116"/>
  <c r="AR33" i="116"/>
  <c r="M33" i="116"/>
  <c r="H398" i="110" s="1"/>
  <c r="M16" i="116"/>
  <c r="AR16" i="116"/>
  <c r="AS66" i="116"/>
  <c r="AS60" i="116"/>
  <c r="AR55" i="116"/>
  <c r="AT18" i="116"/>
  <c r="AT17" i="116"/>
  <c r="AT13" i="116"/>
  <c r="AT8" i="116"/>
  <c r="AT67" i="116"/>
  <c r="AS63" i="116"/>
  <c r="AT59" i="116"/>
  <c r="AS48" i="116"/>
  <c r="AR48" i="116"/>
  <c r="AR46" i="116"/>
  <c r="AS29" i="116"/>
  <c r="AT21" i="116"/>
  <c r="N164" i="108"/>
  <c r="T10" i="108"/>
  <c r="Y10" i="108" s="1"/>
  <c r="E25" i="115"/>
  <c r="N622" i="108"/>
  <c r="N644" i="108"/>
  <c r="N670" i="108"/>
  <c r="N664" i="108"/>
  <c r="N159" i="108"/>
  <c r="N632" i="108"/>
  <c r="N443" i="108"/>
  <c r="N274" i="108"/>
  <c r="N420" i="108"/>
  <c r="N661" i="108"/>
  <c r="N29" i="108"/>
  <c r="N221" i="108"/>
  <c r="N224" i="108"/>
  <c r="N46" i="108"/>
  <c r="N380" i="108"/>
  <c r="N358" i="108"/>
  <c r="N710" i="108"/>
  <c r="N464" i="108"/>
  <c r="N19" i="108"/>
  <c r="N20" i="108"/>
  <c r="N67" i="108"/>
  <c r="N68" i="108"/>
  <c r="N72" i="108"/>
  <c r="N472" i="108"/>
  <c r="N581" i="108"/>
  <c r="N802" i="108"/>
  <c r="N39" i="108"/>
  <c r="N424" i="108"/>
  <c r="N244" i="108"/>
  <c r="N308" i="108"/>
  <c r="N378" i="108"/>
  <c r="N360" i="108"/>
  <c r="N858" i="108"/>
  <c r="N680" i="108"/>
  <c r="N133" i="108"/>
  <c r="N520" i="108"/>
  <c r="N340" i="108"/>
  <c r="N850" i="108"/>
  <c r="N374" i="108"/>
  <c r="V860" i="108"/>
  <c r="H295" i="110"/>
  <c r="J307" i="110"/>
  <c r="H291" i="110"/>
  <c r="I301" i="110"/>
  <c r="H301" i="110"/>
  <c r="I304" i="110"/>
  <c r="I300" i="110"/>
  <c r="M296" i="110"/>
  <c r="L298" i="110"/>
  <c r="W298" i="110" s="1"/>
  <c r="H296" i="110"/>
  <c r="W322" i="110"/>
  <c r="W331" i="110"/>
  <c r="N307" i="110"/>
  <c r="W291" i="110"/>
  <c r="K299" i="110"/>
  <c r="W296" i="110"/>
  <c r="H298" i="110"/>
  <c r="J295" i="110"/>
  <c r="W317" i="110"/>
  <c r="W295" i="110"/>
  <c r="L307" i="110"/>
  <c r="L299" i="110"/>
  <c r="J293" i="110"/>
  <c r="J299" i="110"/>
  <c r="K295" i="110"/>
  <c r="I299" i="110"/>
  <c r="H299" i="110"/>
  <c r="N299" i="110"/>
  <c r="E482" i="110"/>
  <c r="N306" i="110"/>
  <c r="L306" i="110"/>
  <c r="I306" i="110"/>
  <c r="J306" i="110"/>
  <c r="M306" i="110"/>
  <c r="K306" i="110"/>
  <c r="H306" i="110"/>
  <c r="N308" i="110"/>
  <c r="H308" i="110"/>
  <c r="H294" i="110"/>
  <c r="I308" i="110"/>
  <c r="AV7" i="123"/>
  <c r="C12" i="109"/>
  <c r="C14" i="109" s="1"/>
  <c r="AV11" i="123"/>
  <c r="D29" i="115"/>
  <c r="C26" i="115"/>
  <c r="Y860" i="108"/>
  <c r="C25" i="115"/>
  <c r="W860" i="108"/>
  <c r="E28" i="115"/>
  <c r="E30" i="115"/>
  <c r="X860" i="108"/>
  <c r="C28" i="115"/>
  <c r="K31" i="115"/>
  <c r="K35" i="115" s="1"/>
  <c r="K37" i="115" s="1"/>
  <c r="C30" i="115"/>
  <c r="G31" i="115"/>
  <c r="D28" i="115"/>
  <c r="C29" i="115"/>
  <c r="I416" i="110"/>
  <c r="Q51" i="116"/>
  <c r="L416" i="110" s="1"/>
  <c r="K862" i="108"/>
  <c r="D863" i="108"/>
  <c r="L862" i="108"/>
  <c r="E863" i="108"/>
  <c r="G863" i="108" s="1"/>
  <c r="AA67" i="116"/>
  <c r="Q31" i="116"/>
  <c r="L396" i="110" s="1"/>
  <c r="I396" i="110"/>
  <c r="Q53" i="116"/>
  <c r="L418" i="110" s="1"/>
  <c r="I418" i="110"/>
  <c r="I382" i="110"/>
  <c r="Q17" i="116"/>
  <c r="Q21" i="116"/>
  <c r="L386" i="110" s="1"/>
  <c r="I386" i="110"/>
  <c r="J418" i="110"/>
  <c r="R53" i="116"/>
  <c r="M418" i="110" s="1"/>
  <c r="P70" i="116"/>
  <c r="K435" i="110" s="1"/>
  <c r="H435" i="110"/>
  <c r="H410" i="110"/>
  <c r="P45" i="116"/>
  <c r="K410" i="110" s="1"/>
  <c r="I410" i="110"/>
  <c r="Q45" i="116"/>
  <c r="L410" i="110" s="1"/>
  <c r="N303" i="110"/>
  <c r="K303" i="110"/>
  <c r="J303" i="110"/>
  <c r="L303" i="110"/>
  <c r="I303" i="110"/>
  <c r="F863" i="108"/>
  <c r="S14" i="108"/>
  <c r="W14" i="108" s="1"/>
  <c r="N14" i="108"/>
  <c r="P61" i="116"/>
  <c r="K426" i="110" s="1"/>
  <c r="Q82" i="116"/>
  <c r="L446" i="110" s="1"/>
  <c r="W446" i="110" s="1"/>
  <c r="J406" i="110"/>
  <c r="R41" i="116"/>
  <c r="M406" i="110" s="1"/>
  <c r="P82" i="116"/>
  <c r="K446" i="110" s="1"/>
  <c r="H446" i="110"/>
  <c r="H384" i="110"/>
  <c r="H400" i="110"/>
  <c r="P35" i="116"/>
  <c r="K400" i="110" s="1"/>
  <c r="P41" i="116"/>
  <c r="K406" i="110" s="1"/>
  <c r="H406" i="110"/>
  <c r="I394" i="110"/>
  <c r="R9" i="108"/>
  <c r="R21" i="116"/>
  <c r="M386" i="110" s="1"/>
  <c r="N305" i="110"/>
  <c r="I387" i="110"/>
  <c r="W387" i="110" s="1"/>
  <c r="R23" i="116"/>
  <c r="K11" i="108"/>
  <c r="K863" i="108" s="1"/>
  <c r="J447" i="110"/>
  <c r="I427" i="110"/>
  <c r="W427" i="110" s="1"/>
  <c r="I371" i="110"/>
  <c r="W371" i="110" s="1"/>
  <c r="H434" i="110"/>
  <c r="P6" i="116"/>
  <c r="K371" i="110" s="1"/>
  <c r="P7" i="116"/>
  <c r="H430" i="110"/>
  <c r="P65" i="116"/>
  <c r="H445" i="110"/>
  <c r="P81" i="116"/>
  <c r="K445" i="110" s="1"/>
  <c r="R27" i="116"/>
  <c r="M392" i="110" s="1"/>
  <c r="I441" i="110"/>
  <c r="W441" i="110" s="1"/>
  <c r="R12" i="116"/>
  <c r="M377" i="110" s="1"/>
  <c r="J377" i="110"/>
  <c r="M11" i="108"/>
  <c r="M863" i="108" s="1"/>
  <c r="J11" i="108"/>
  <c r="J863" i="108" s="1"/>
  <c r="H11" i="108"/>
  <c r="I448" i="110"/>
  <c r="Q84" i="116"/>
  <c r="L448" i="110" s="1"/>
  <c r="N9" i="108"/>
  <c r="L305" i="110"/>
  <c r="W305" i="110" s="1"/>
  <c r="P44" i="116"/>
  <c r="K409" i="110" s="1"/>
  <c r="K297" i="110"/>
  <c r="I11" i="108"/>
  <c r="T11" i="108" s="1"/>
  <c r="Y11" i="108" s="1"/>
  <c r="L11" i="108"/>
  <c r="L863" i="108" s="1"/>
  <c r="P80" i="116"/>
  <c r="K444" i="110" s="1"/>
  <c r="Q76" i="116"/>
  <c r="L440" i="110" s="1"/>
  <c r="W440" i="110" s="1"/>
  <c r="H376" i="110"/>
  <c r="P11" i="116"/>
  <c r="I405" i="110"/>
  <c r="Q40" i="116"/>
  <c r="L405" i="110" s="1"/>
  <c r="Q29" i="116"/>
  <c r="L394" i="110" s="1"/>
  <c r="R28" i="116"/>
  <c r="M301" i="110"/>
  <c r="J301" i="110"/>
  <c r="K301" i="110"/>
  <c r="L301" i="110"/>
  <c r="W301" i="110" s="1"/>
  <c r="R32" i="116"/>
  <c r="M397" i="110" s="1"/>
  <c r="H13" i="108"/>
  <c r="S13" i="108" s="1"/>
  <c r="W13" i="108" s="1"/>
  <c r="R74" i="116"/>
  <c r="R48" i="116"/>
  <c r="M413" i="110" s="1"/>
  <c r="Q61" i="116"/>
  <c r="L426" i="110" s="1"/>
  <c r="W426" i="110" s="1"/>
  <c r="H447" i="110"/>
  <c r="B25" i="109"/>
  <c r="B39" i="109" s="1"/>
  <c r="Q75" i="116"/>
  <c r="I439" i="110"/>
  <c r="H408" i="110"/>
  <c r="P43" i="116"/>
  <c r="K408" i="110" s="1"/>
  <c r="AV19" i="123"/>
  <c r="AV26" i="123"/>
  <c r="AV24" i="123"/>
  <c r="AV13" i="123"/>
  <c r="H292" i="110"/>
  <c r="W268" i="110"/>
  <c r="BD28" i="123"/>
  <c r="AV28" i="123"/>
  <c r="K294" i="110"/>
  <c r="L294" i="110"/>
  <c r="N294" i="110"/>
  <c r="W129" i="110"/>
  <c r="N304" i="110"/>
  <c r="G449" i="110"/>
  <c r="G482" i="110" s="1"/>
  <c r="AV16" i="123"/>
  <c r="J304" i="110"/>
  <c r="L304" i="110"/>
  <c r="W304" i="110" s="1"/>
  <c r="J292" i="110"/>
  <c r="W218" i="110"/>
  <c r="BD15" i="123"/>
  <c r="AV15" i="123"/>
  <c r="I294" i="110"/>
  <c r="AV18" i="123"/>
  <c r="AV10" i="123"/>
  <c r="AV17" i="123"/>
  <c r="M304" i="110"/>
  <c r="H304" i="110"/>
  <c r="W269" i="110"/>
  <c r="H303" i="110"/>
  <c r="M303" i="110"/>
  <c r="W176" i="110"/>
  <c r="W258" i="110"/>
  <c r="M292" i="110"/>
  <c r="I292" i="110"/>
  <c r="AV8" i="123"/>
  <c r="AV12" i="123"/>
  <c r="L292" i="110"/>
  <c r="K292" i="110"/>
  <c r="H307" i="110"/>
  <c r="I307" i="110"/>
  <c r="M307" i="110"/>
  <c r="M308" i="110"/>
  <c r="K308" i="110"/>
  <c r="L308" i="110"/>
  <c r="W308" i="110" s="1"/>
  <c r="W108" i="110"/>
  <c r="N293" i="110"/>
  <c r="L293" i="110"/>
  <c r="W293" i="110" s="1"/>
  <c r="K293" i="110"/>
  <c r="W300" i="110"/>
  <c r="W302" i="110"/>
  <c r="AV27" i="123"/>
  <c r="AV23" i="123"/>
  <c r="W164" i="110"/>
  <c r="AV14" i="123"/>
  <c r="AV21" i="123"/>
  <c r="W368" i="110"/>
  <c r="W369" i="110"/>
  <c r="W339" i="110"/>
  <c r="W336" i="110"/>
  <c r="C27" i="115"/>
  <c r="W319" i="110"/>
  <c r="W355" i="110"/>
  <c r="W362" i="110"/>
  <c r="W361" i="110"/>
  <c r="W353" i="110"/>
  <c r="W333" i="110"/>
  <c r="W320" i="110"/>
  <c r="W363" i="110"/>
  <c r="W314" i="110"/>
  <c r="W325" i="110"/>
  <c r="W357" i="110"/>
  <c r="W312" i="110"/>
  <c r="W342" i="110"/>
  <c r="W367" i="110"/>
  <c r="W366" i="110"/>
  <c r="W311" i="110"/>
  <c r="W330" i="110"/>
  <c r="W315" i="110"/>
  <c r="W352" i="110"/>
  <c r="W349" i="110"/>
  <c r="W324" i="110"/>
  <c r="W356" i="110"/>
  <c r="W365" i="110"/>
  <c r="W350" i="110"/>
  <c r="W341" i="110"/>
  <c r="W335" i="110"/>
  <c r="W345" i="110"/>
  <c r="E29" i="115"/>
  <c r="W318" i="110"/>
  <c r="W332" i="110"/>
  <c r="W329" i="110"/>
  <c r="E27" i="115"/>
  <c r="W364" i="110"/>
  <c r="W326" i="110"/>
  <c r="W310" i="110"/>
  <c r="W313" i="110"/>
  <c r="W323" i="110"/>
  <c r="W359" i="110"/>
  <c r="W354" i="110"/>
  <c r="W360" i="110"/>
  <c r="W347" i="110"/>
  <c r="W309" i="110"/>
  <c r="W358" i="110"/>
  <c r="W346" i="110"/>
  <c r="W316" i="110"/>
  <c r="W328" i="110"/>
  <c r="W321" i="110"/>
  <c r="W340" i="110"/>
  <c r="W338" i="110"/>
  <c r="W348" i="110"/>
  <c r="W334" i="110"/>
  <c r="I31" i="115"/>
  <c r="W343" i="110"/>
  <c r="D862" i="108"/>
  <c r="E862" i="108"/>
  <c r="L860" i="108"/>
  <c r="K373" i="110"/>
  <c r="C37" i="109"/>
  <c r="R14" i="108"/>
  <c r="T14" i="108"/>
  <c r="Y14" i="108" s="1"/>
  <c r="I860" i="108"/>
  <c r="T9" i="108"/>
  <c r="Y9" i="108" s="1"/>
  <c r="D27" i="115"/>
  <c r="H31" i="115"/>
  <c r="J401" i="110"/>
  <c r="Q35" i="116"/>
  <c r="I400" i="110"/>
  <c r="BN9" i="123"/>
  <c r="AV9" i="123"/>
  <c r="R68" i="116"/>
  <c r="M433" i="110" s="1"/>
  <c r="J433" i="110"/>
  <c r="Q66" i="116"/>
  <c r="L431" i="110" s="1"/>
  <c r="I431" i="110"/>
  <c r="J429" i="110"/>
  <c r="R64" i="116"/>
  <c r="J425" i="110"/>
  <c r="R60" i="116"/>
  <c r="P27" i="116"/>
  <c r="H392" i="110"/>
  <c r="P46" i="116"/>
  <c r="H411" i="110"/>
  <c r="R58" i="116"/>
  <c r="J423" i="110"/>
  <c r="P66" i="116"/>
  <c r="K431" i="110" s="1"/>
  <c r="W297" i="110"/>
  <c r="J31" i="115"/>
  <c r="H433" i="110"/>
  <c r="J378" i="110"/>
  <c r="R13" i="116"/>
  <c r="J426" i="110"/>
  <c r="R61" i="116"/>
  <c r="R56" i="116"/>
  <c r="J421" i="110"/>
  <c r="R78" i="116"/>
  <c r="M442" i="110" s="1"/>
  <c r="J442" i="110"/>
  <c r="BN22" i="123"/>
  <c r="AV22" i="123"/>
  <c r="AV20" i="123"/>
  <c r="I437" i="110"/>
  <c r="Q72" i="116"/>
  <c r="L437" i="110" s="1"/>
  <c r="R11" i="108"/>
  <c r="N12" i="108"/>
  <c r="T12" i="108"/>
  <c r="Y12" i="108" s="1"/>
  <c r="E26" i="115"/>
  <c r="R16" i="116"/>
  <c r="P21" i="116"/>
  <c r="K386" i="110" s="1"/>
  <c r="I377" i="110"/>
  <c r="Q12" i="116"/>
  <c r="I379" i="110"/>
  <c r="W379" i="110" s="1"/>
  <c r="J414" i="110"/>
  <c r="H441" i="110"/>
  <c r="P77" i="116"/>
  <c r="R84" i="116"/>
  <c r="P30" i="116"/>
  <c r="K395" i="110" s="1"/>
  <c r="BN14" i="123"/>
  <c r="AS62" i="116"/>
  <c r="AS58" i="116"/>
  <c r="O26" i="116"/>
  <c r="N25" i="116"/>
  <c r="N14" i="132"/>
  <c r="I398" i="110" l="1"/>
  <c r="P38" i="116"/>
  <c r="Q50" i="116"/>
  <c r="L415" i="110" s="1"/>
  <c r="W415" i="110" s="1"/>
  <c r="P15" i="116"/>
  <c r="K380" i="110" s="1"/>
  <c r="Q13" i="116"/>
  <c r="L378" i="110" s="1"/>
  <c r="W378" i="110" s="1"/>
  <c r="H443" i="110"/>
  <c r="H440" i="110"/>
  <c r="Q83" i="116"/>
  <c r="L447" i="110" s="1"/>
  <c r="W447" i="110" s="1"/>
  <c r="P42" i="116"/>
  <c r="K407" i="110" s="1"/>
  <c r="R71" i="116"/>
  <c r="M436" i="110" s="1"/>
  <c r="H387" i="110"/>
  <c r="R45" i="116"/>
  <c r="M410" i="110" s="1"/>
  <c r="W425" i="110"/>
  <c r="R5" i="116"/>
  <c r="M370" i="110" s="1"/>
  <c r="R31" i="116"/>
  <c r="M396" i="110" s="1"/>
  <c r="C19" i="115"/>
  <c r="R54" i="116"/>
  <c r="M419" i="110" s="1"/>
  <c r="J398" i="110"/>
  <c r="Q52" i="116"/>
  <c r="L417" i="110" s="1"/>
  <c r="W417" i="110" s="1"/>
  <c r="J417" i="110"/>
  <c r="R44" i="116"/>
  <c r="M409" i="110" s="1"/>
  <c r="Q8" i="116"/>
  <c r="L373" i="110" s="1"/>
  <c r="W373" i="110" s="1"/>
  <c r="J437" i="110"/>
  <c r="R6" i="116"/>
  <c r="M371" i="110" s="1"/>
  <c r="P5" i="116"/>
  <c r="Q65" i="116"/>
  <c r="L430" i="110" s="1"/>
  <c r="W430" i="110" s="1"/>
  <c r="R63" i="116"/>
  <c r="M428" i="110" s="1"/>
  <c r="I442" i="110"/>
  <c r="W442" i="110" s="1"/>
  <c r="Q43" i="116"/>
  <c r="L408" i="110" s="1"/>
  <c r="W408" i="110" s="1"/>
  <c r="R39" i="116"/>
  <c r="M404" i="110" s="1"/>
  <c r="R51" i="116"/>
  <c r="M416" i="110" s="1"/>
  <c r="J407" i="110"/>
  <c r="P10" i="116"/>
  <c r="K375" i="110" s="1"/>
  <c r="W420" i="110"/>
  <c r="W438" i="110"/>
  <c r="R82" i="116"/>
  <c r="M446" i="110" s="1"/>
  <c r="W372" i="110"/>
  <c r="R79" i="116"/>
  <c r="M443" i="110" s="1"/>
  <c r="J443" i="110"/>
  <c r="Q15" i="116"/>
  <c r="W407" i="110"/>
  <c r="R7" i="116"/>
  <c r="M372" i="110" s="1"/>
  <c r="R11" i="116"/>
  <c r="M376" i="110" s="1"/>
  <c r="W388" i="110"/>
  <c r="P31" i="116"/>
  <c r="K396" i="110" s="1"/>
  <c r="H396" i="110"/>
  <c r="Q19" i="116"/>
  <c r="L384" i="110" s="1"/>
  <c r="W384" i="110" s="1"/>
  <c r="Q54" i="116"/>
  <c r="L419" i="110" s="1"/>
  <c r="W419" i="110" s="1"/>
  <c r="H422" i="110"/>
  <c r="P57" i="116"/>
  <c r="K422" i="110" s="1"/>
  <c r="Q49" i="116"/>
  <c r="L414" i="110" s="1"/>
  <c r="W414" i="110" s="1"/>
  <c r="P72" i="116"/>
  <c r="W402" i="110"/>
  <c r="P28" i="116"/>
  <c r="K393" i="110" s="1"/>
  <c r="H393" i="110"/>
  <c r="H421" i="110"/>
  <c r="P56" i="116"/>
  <c r="K421" i="110" s="1"/>
  <c r="P71" i="116"/>
  <c r="H436" i="110"/>
  <c r="W375" i="110"/>
  <c r="I432" i="110"/>
  <c r="Q67" i="116"/>
  <c r="L432" i="110" s="1"/>
  <c r="J439" i="110"/>
  <c r="R75" i="116"/>
  <c r="M439" i="110" s="1"/>
  <c r="Q18" i="116"/>
  <c r="L383" i="110" s="1"/>
  <c r="W383" i="110" s="1"/>
  <c r="H399" i="110"/>
  <c r="P34" i="116"/>
  <c r="K399" i="110" s="1"/>
  <c r="R10" i="116"/>
  <c r="M375" i="110" s="1"/>
  <c r="J375" i="110"/>
  <c r="P12" i="116"/>
  <c r="K377" i="110" s="1"/>
  <c r="H377" i="110"/>
  <c r="Q64" i="116"/>
  <c r="L429" i="110" s="1"/>
  <c r="I429" i="110"/>
  <c r="I19" i="115"/>
  <c r="J408" i="110"/>
  <c r="R43" i="116"/>
  <c r="M408" i="110" s="1"/>
  <c r="P33" i="116"/>
  <c r="K398" i="110" s="1"/>
  <c r="P16" i="116"/>
  <c r="K381" i="110" s="1"/>
  <c r="H381" i="110"/>
  <c r="W376" i="110"/>
  <c r="H416" i="110"/>
  <c r="P51" i="116"/>
  <c r="H425" i="110"/>
  <c r="P60" i="116"/>
  <c r="K425" i="110" s="1"/>
  <c r="I391" i="110"/>
  <c r="Q26" i="116"/>
  <c r="L391" i="110" s="1"/>
  <c r="I389" i="110"/>
  <c r="Q24" i="116"/>
  <c r="I411" i="110"/>
  <c r="Q46" i="116"/>
  <c r="L411" i="110" s="1"/>
  <c r="P50" i="116"/>
  <c r="H415" i="110"/>
  <c r="R13" i="108"/>
  <c r="K860" i="108"/>
  <c r="M860" i="108"/>
  <c r="N13" i="108"/>
  <c r="I863" i="108"/>
  <c r="W307" i="110"/>
  <c r="W294" i="110"/>
  <c r="D478" i="110"/>
  <c r="W306" i="110"/>
  <c r="W299" i="110"/>
  <c r="W386" i="110"/>
  <c r="W418" i="110"/>
  <c r="W396" i="110"/>
  <c r="W405" i="110"/>
  <c r="W398" i="110"/>
  <c r="M478" i="110"/>
  <c r="W394" i="110"/>
  <c r="W303" i="110"/>
  <c r="J476" i="110"/>
  <c r="C31" i="115"/>
  <c r="D31" i="115"/>
  <c r="D479" i="110"/>
  <c r="S11" i="108"/>
  <c r="W11" i="108" s="1"/>
  <c r="N11" i="108"/>
  <c r="H860" i="108"/>
  <c r="D31" i="109" s="1"/>
  <c r="E31" i="109" s="1"/>
  <c r="E479" i="110"/>
  <c r="L439" i="110"/>
  <c r="J860" i="108"/>
  <c r="D34" i="109" s="1"/>
  <c r="E34" i="109" s="1"/>
  <c r="W410" i="110"/>
  <c r="H863" i="108"/>
  <c r="L382" i="110"/>
  <c r="W382" i="110" s="1"/>
  <c r="M438" i="110"/>
  <c r="M393" i="110"/>
  <c r="K376" i="110"/>
  <c r="K430" i="110"/>
  <c r="K372" i="110"/>
  <c r="I478" i="110"/>
  <c r="L477" i="110"/>
  <c r="W448" i="110"/>
  <c r="M388" i="110"/>
  <c r="W416" i="110"/>
  <c r="E477" i="110"/>
  <c r="I476" i="110"/>
  <c r="W292" i="110"/>
  <c r="M477" i="110"/>
  <c r="H476" i="110"/>
  <c r="E478" i="110"/>
  <c r="D477" i="110"/>
  <c r="K478" i="110"/>
  <c r="E476" i="110"/>
  <c r="F478" i="110"/>
  <c r="H478" i="110"/>
  <c r="F477" i="110"/>
  <c r="F479" i="110"/>
  <c r="G479" i="110" s="1"/>
  <c r="W431" i="110"/>
  <c r="J478" i="110"/>
  <c r="K477" i="110"/>
  <c r="L478" i="110"/>
  <c r="F476" i="110"/>
  <c r="D476" i="110"/>
  <c r="E31" i="115"/>
  <c r="M381" i="110"/>
  <c r="L377" i="110"/>
  <c r="W377" i="110" s="1"/>
  <c r="W437" i="110"/>
  <c r="M378" i="110"/>
  <c r="C25" i="109"/>
  <c r="J391" i="110"/>
  <c r="R26" i="116"/>
  <c r="M391" i="110" s="1"/>
  <c r="K441" i="110"/>
  <c r="M426" i="110"/>
  <c r="K411" i="110"/>
  <c r="K392" i="110"/>
  <c r="M429" i="110"/>
  <c r="Q25" i="116"/>
  <c r="L390" i="110" s="1"/>
  <c r="I390" i="110"/>
  <c r="M448" i="110"/>
  <c r="M421" i="110"/>
  <c r="M423" i="110"/>
  <c r="L400" i="110"/>
  <c r="W400" i="110" s="1"/>
  <c r="D33" i="109"/>
  <c r="M425" i="110"/>
  <c r="G862" i="108"/>
  <c r="N862" i="108" s="1"/>
  <c r="K403" i="110" l="1"/>
  <c r="K437" i="110"/>
  <c r="K370" i="110"/>
  <c r="W432" i="110"/>
  <c r="L380" i="110"/>
  <c r="W380" i="110" s="1"/>
  <c r="H449" i="110"/>
  <c r="H452" i="110" s="1"/>
  <c r="J479" i="110"/>
  <c r="W429" i="110"/>
  <c r="H479" i="110"/>
  <c r="W391" i="110"/>
  <c r="K436" i="110"/>
  <c r="I449" i="110"/>
  <c r="I452" i="110" s="1"/>
  <c r="K415" i="110"/>
  <c r="K416" i="110"/>
  <c r="W411" i="110"/>
  <c r="L389" i="110"/>
  <c r="W389" i="110" s="1"/>
  <c r="N863" i="108"/>
  <c r="N860" i="108"/>
  <c r="W439" i="110"/>
  <c r="G478" i="110"/>
  <c r="G476" i="110"/>
  <c r="M479" i="110"/>
  <c r="G477" i="110"/>
  <c r="D35" i="109"/>
  <c r="E33" i="109"/>
  <c r="J449" i="110"/>
  <c r="C39" i="109"/>
  <c r="M449" i="110"/>
  <c r="W390" i="110"/>
  <c r="I479" i="110"/>
  <c r="K479" i="110" l="1"/>
  <c r="L479" i="110"/>
  <c r="K449" i="110"/>
  <c r="K452" i="110" s="1"/>
  <c r="L449" i="110"/>
  <c r="L452" i="110" s="1"/>
  <c r="I465" i="110"/>
  <c r="I463" i="110"/>
  <c r="I462" i="110"/>
  <c r="I469" i="110"/>
  <c r="I468" i="110"/>
  <c r="I453" i="110"/>
  <c r="I464" i="110"/>
  <c r="I459" i="110"/>
  <c r="I454" i="110"/>
  <c r="I471" i="110"/>
  <c r="I472" i="110"/>
  <c r="I457" i="110"/>
  <c r="I461" i="110"/>
  <c r="I470" i="110"/>
  <c r="I455" i="110"/>
  <c r="I473" i="110"/>
  <c r="I456" i="110"/>
  <c r="I458" i="110"/>
  <c r="I460" i="110"/>
  <c r="I466" i="110"/>
  <c r="I467" i="110"/>
  <c r="H471" i="110"/>
  <c r="H455" i="110"/>
  <c r="H460" i="110"/>
  <c r="H467" i="110"/>
  <c r="H462" i="110"/>
  <c r="H458" i="110"/>
  <c r="H459" i="110"/>
  <c r="H464" i="110"/>
  <c r="H461" i="110"/>
  <c r="H465" i="110"/>
  <c r="H454" i="110"/>
  <c r="H469" i="110"/>
  <c r="H468" i="110"/>
  <c r="H466" i="110"/>
  <c r="H453" i="110"/>
  <c r="H473" i="110"/>
  <c r="H463" i="110"/>
  <c r="H456" i="110"/>
  <c r="H457" i="110"/>
  <c r="H470" i="110"/>
  <c r="H472" i="110"/>
  <c r="J452" i="110"/>
  <c r="M452" i="110"/>
  <c r="E35" i="109"/>
  <c r="D37" i="109"/>
  <c r="E37" i="109" s="1"/>
  <c r="M455" i="110" l="1"/>
  <c r="M467" i="110"/>
  <c r="M463" i="110"/>
  <c r="M469" i="110"/>
  <c r="M459" i="110"/>
  <c r="M468" i="110"/>
  <c r="M465" i="110"/>
  <c r="M462" i="110"/>
  <c r="M454" i="110"/>
  <c r="M466" i="110"/>
  <c r="M461" i="110"/>
  <c r="M456" i="110"/>
  <c r="M471" i="110"/>
  <c r="M457" i="110"/>
  <c r="M470" i="110"/>
  <c r="M472" i="110"/>
  <c r="M464" i="110"/>
  <c r="M460" i="110"/>
  <c r="M458" i="110"/>
  <c r="M453" i="110"/>
  <c r="M473" i="110"/>
  <c r="L461" i="110"/>
  <c r="W461" i="110" s="1"/>
  <c r="L466" i="110"/>
  <c r="W466" i="110" s="1"/>
  <c r="L458" i="110"/>
  <c r="W458" i="110" s="1"/>
  <c r="L464" i="110"/>
  <c r="W464" i="110" s="1"/>
  <c r="L472" i="110"/>
  <c r="W472" i="110" s="1"/>
  <c r="L465" i="110"/>
  <c r="W465" i="110" s="1"/>
  <c r="L468" i="110"/>
  <c r="W468" i="110" s="1"/>
  <c r="L454" i="110"/>
  <c r="W454" i="110" s="1"/>
  <c r="L457" i="110"/>
  <c r="L456" i="110"/>
  <c r="L462" i="110"/>
  <c r="W462" i="110" s="1"/>
  <c r="L467" i="110"/>
  <c r="W467" i="110" s="1"/>
  <c r="L471" i="110"/>
  <c r="W471" i="110" s="1"/>
  <c r="L460" i="110"/>
  <c r="W460" i="110" s="1"/>
  <c r="L469" i="110"/>
  <c r="L455" i="110"/>
  <c r="W455" i="110" s="1"/>
  <c r="L463" i="110"/>
  <c r="L459" i="110"/>
  <c r="W459" i="110" s="1"/>
  <c r="L453" i="110"/>
  <c r="W453" i="110" s="1"/>
  <c r="L473" i="110"/>
  <c r="W473" i="110" s="1"/>
  <c r="L470" i="110"/>
  <c r="W470" i="110" s="1"/>
  <c r="D33" i="115"/>
  <c r="H474" i="110"/>
  <c r="D22" i="115"/>
  <c r="W457" i="110"/>
  <c r="K473" i="110"/>
  <c r="K464" i="110"/>
  <c r="K463" i="110"/>
  <c r="K455" i="110"/>
  <c r="K466" i="110"/>
  <c r="K460" i="110"/>
  <c r="K471" i="110"/>
  <c r="K468" i="110"/>
  <c r="K457" i="110"/>
  <c r="K461" i="110"/>
  <c r="K454" i="110"/>
  <c r="K459" i="110"/>
  <c r="K470" i="110"/>
  <c r="K458" i="110"/>
  <c r="K453" i="110"/>
  <c r="K467" i="110"/>
  <c r="K465" i="110"/>
  <c r="K456" i="110"/>
  <c r="K472" i="110"/>
  <c r="K469" i="110"/>
  <c r="K462" i="110"/>
  <c r="J470" i="110"/>
  <c r="J455" i="110"/>
  <c r="J460" i="110"/>
  <c r="J471" i="110"/>
  <c r="J462" i="110"/>
  <c r="J463" i="110"/>
  <c r="J459" i="110"/>
  <c r="J472" i="110"/>
  <c r="J469" i="110"/>
  <c r="J467" i="110"/>
  <c r="J473" i="110"/>
  <c r="J466" i="110"/>
  <c r="J465" i="110"/>
  <c r="J456" i="110"/>
  <c r="J457" i="110"/>
  <c r="J458" i="110"/>
  <c r="J464" i="110"/>
  <c r="J461" i="110"/>
  <c r="J453" i="110"/>
  <c r="J454" i="110"/>
  <c r="E22" i="115" s="1"/>
  <c r="J468" i="110"/>
  <c r="I474" i="110"/>
  <c r="W463" i="110"/>
  <c r="W456" i="110"/>
  <c r="W469" i="110" l="1"/>
  <c r="M474" i="110"/>
  <c r="M480" i="110" s="1"/>
  <c r="E33" i="115"/>
  <c r="J33" i="115" s="1"/>
  <c r="J35" i="115" s="1"/>
  <c r="J37" i="115" s="1"/>
  <c r="D45" i="115" s="1"/>
  <c r="K474" i="110"/>
  <c r="H480" i="110"/>
  <c r="H482" i="110"/>
  <c r="I22" i="115"/>
  <c r="I35" i="115" s="1"/>
  <c r="I37" i="115" s="1"/>
  <c r="C45" i="115" s="1"/>
  <c r="I480" i="110"/>
  <c r="I482" i="110"/>
  <c r="H33" i="115"/>
  <c r="H35" i="115" s="1"/>
  <c r="H37" i="115" s="1"/>
  <c r="D44" i="115" s="1"/>
  <c r="L474" i="110"/>
  <c r="C22" i="115"/>
  <c r="D35" i="115"/>
  <c r="D37" i="115" s="1"/>
  <c r="G22" i="115"/>
  <c r="G35" i="115" s="1"/>
  <c r="G37" i="115" s="1"/>
  <c r="C44" i="115" s="1"/>
  <c r="J474" i="110"/>
  <c r="M482" i="110" l="1"/>
  <c r="D46" i="115"/>
  <c r="I55" i="115"/>
  <c r="E35" i="115"/>
  <c r="E37" i="115" s="1"/>
  <c r="J480" i="110"/>
  <c r="J482" i="110"/>
  <c r="L480" i="110"/>
  <c r="L482" i="110"/>
  <c r="E44" i="115"/>
  <c r="C46" i="115"/>
  <c r="C33" i="115"/>
  <c r="C35" i="115" s="1"/>
  <c r="C37" i="115" s="1"/>
  <c r="E49" i="115" s="1"/>
  <c r="E45" i="115"/>
  <c r="K480" i="110"/>
  <c r="K482" i="110"/>
  <c r="E46" i="115" l="1"/>
  <c r="D47" i="115" s="1"/>
  <c r="D48" i="115" s="1"/>
  <c r="C47" i="115" l="1"/>
  <c r="D25" i="109"/>
  <c r="D39" i="109" l="1"/>
  <c r="E25" i="109"/>
  <c r="E47" i="115"/>
  <c r="C48" i="115"/>
  <c r="E48" i="115" s="1"/>
  <c r="C49" i="115"/>
  <c r="D49" i="115" s="1"/>
  <c r="E39" i="109" l="1"/>
</calcChain>
</file>

<file path=xl/sharedStrings.xml><?xml version="1.0" encoding="utf-8"?>
<sst xmlns="http://schemas.openxmlformats.org/spreadsheetml/2006/main" count="8131" uniqueCount="3359">
  <si>
    <t>SERRANO-VILLA PARK No. 2</t>
  </si>
  <si>
    <t>TOTAL 220kV T/L'S</t>
  </si>
  <si>
    <t>161kV TRANSMISSION LINES</t>
  </si>
  <si>
    <t>EAGLE MOUNTAIN-BLYTHE</t>
  </si>
  <si>
    <t>TOTAL 161kV T/L'S</t>
  </si>
  <si>
    <t>115kV TRANSMISSION LINES</t>
  </si>
  <si>
    <t>CONTROL-HAIWEE-INYOKERN No. 1</t>
  </si>
  <si>
    <t>CONTROL-HAIWEE-INYOKERN No. 2</t>
  </si>
  <si>
    <t>CONTROL-INYO (DWP)</t>
  </si>
  <si>
    <t>COOLWATER-SEGS 2-TORTILLA</t>
  </si>
  <si>
    <t>DEVERS-GARNET-VENWIND</t>
  </si>
  <si>
    <t>ELDORADO-BAKER-CLWTR-DUNN-MT.PASS</t>
  </si>
  <si>
    <t>TOTAL ELDO-BAK-CLWTR-DUNN-MT.PASS</t>
  </si>
  <si>
    <t>KRAMER-COOL WATER</t>
  </si>
  <si>
    <t>KRAMER-INYOKERN-RANDSBURG No. 1</t>
  </si>
  <si>
    <t>KRAMER-INYOKERN-RANDSBURG No. 3</t>
  </si>
  <si>
    <t>KRAMER-ROADWAY-VICTOR</t>
  </si>
  <si>
    <t>KRAMER-TORTILLA</t>
  </si>
  <si>
    <t>KRAMER-VICTOR</t>
  </si>
  <si>
    <t>TOTAL 115kV T/L'S</t>
  </si>
  <si>
    <t>55kV TRANSMISSION LINES</t>
  </si>
  <si>
    <t>CONTROL-SILVER PEAK "A" - CALIF</t>
  </si>
  <si>
    <t>CONTROL-SILVER PEAK "C" - CALIF</t>
  </si>
  <si>
    <t>TOTAL 55kV T/L'S</t>
  </si>
  <si>
    <t>GRAND TOTAL</t>
  </si>
  <si>
    <t>115kV TRANSMISSION LINES WHICH WILL CONVERT TO NON-ISO DUE TO THE IMPLEMENTATION OF THE DEVERS MIRAGE PROJECT</t>
  </si>
  <si>
    <t>CONCHO-INDIAN WELLS</t>
  </si>
  <si>
    <t>CONCHO-INDIAN WELLS-SANTA ROSA</t>
  </si>
  <si>
    <t>TOTAL CONCHO-INDIAN WELLS-SANTA ROSA</t>
  </si>
  <si>
    <t>DEVERS-EISENHOWER</t>
  </si>
  <si>
    <t>DEVERS-GARNET-INDIGO</t>
  </si>
  <si>
    <t>EISENHOWER-FARRELL</t>
  </si>
  <si>
    <t>EISENHOWER-THORNHILL</t>
  </si>
  <si>
    <t>MIRAGE-TAMARISK</t>
  </si>
  <si>
    <t>SANTA ROSA-TAMARISK</t>
  </si>
  <si>
    <t>TAMARISK-THORNHILL</t>
  </si>
  <si>
    <t>TOTAL TAMARISK-THORNHILL</t>
  </si>
  <si>
    <t>DEVERS-FARRELL-WINDLAND</t>
  </si>
  <si>
    <t>TOTAL DEVERS-FARRELL-WINDLAND</t>
  </si>
  <si>
    <t>SUB TOTAL OF 115kV T/L'S Non ISO</t>
  </si>
  <si>
    <t>66kV TRANSMISSION LINES WHICH WILL CONVERT TO NON-ISO DUE TO THE IMPLEMENTATION OF THE EKWRA &amp; ANTELOPE BAILEY PROJECT</t>
  </si>
  <si>
    <t>BAILEY-NEENACH-WESTPAC</t>
  </si>
  <si>
    <t>ANTELOPE-ACTON-PALMDALE-SHUTTLE</t>
  </si>
  <si>
    <t>ANTELOPE-ANAVERDE</t>
  </si>
  <si>
    <t>ANTELOPE-ANAVERDE-HELIJET</t>
  </si>
  <si>
    <t>ANTELOPE-CAL CEMENT</t>
  </si>
  <si>
    <t>ANTELOPE-DEL SUR</t>
  </si>
  <si>
    <t>ANTELOPE-DEL SUR-ROSAMOND</t>
  </si>
  <si>
    <t>ANTELOPE-LANCASTER-LANPRI-SHUTTLE</t>
  </si>
  <si>
    <t>*OH</t>
  </si>
  <si>
    <t>TOTAL ANTELOPE-LANCASTER-LANPRI-SHUTTLE</t>
  </si>
  <si>
    <t>ANTELOPE-OASIS-PALMDALE-QUARTZ HILL</t>
  </si>
  <si>
    <t>ANTELOPE-ROSAMOND</t>
  </si>
  <si>
    <t>ANTELOPE-SHUTTLE</t>
  </si>
  <si>
    <t>BAILEY-GORMAN</t>
  </si>
  <si>
    <t>CAL CEMENT-GOLDTOWN-MONOLITH-W/LAND</t>
  </si>
  <si>
    <t>TOTAL CAL CEMENT-GOLDTOWN MONOLITH-WINDLANDS</t>
  </si>
  <si>
    <t>CAL CEMENT-MONOLITH-ROSAMOND-W/FARM</t>
  </si>
  <si>
    <t>TOTAL CAL CEMENT-MONOLITH-ROSAMOND-W/FARM</t>
  </si>
  <si>
    <t>CAL CEMENT-MONOLITH-WINDPARK</t>
  </si>
  <si>
    <t>TOTAL CAL CEMENT-MONOLITH-WINDPARK</t>
  </si>
  <si>
    <t>CORUM-GOLDTOWN</t>
  </si>
  <si>
    <t>CORUM-ROSAMOND</t>
  </si>
  <si>
    <t>CUMMINGS-MONOLITH</t>
  </si>
  <si>
    <t>DEL SUR-LANCASTER-RITE AID</t>
  </si>
  <si>
    <t>GOLDTOWN-LANCASTER</t>
  </si>
  <si>
    <t>GORMAN-KERN RIVER No. 1</t>
  </si>
  <si>
    <t>TOTAL GORMAN-KERN RIVER No. 1</t>
  </si>
  <si>
    <t>HELIJET-LITTLE ROCK-PALMDALE-ROCKAIR</t>
  </si>
  <si>
    <t>LANCASTER-LITTLE ROCK-PIUTE</t>
  </si>
  <si>
    <t>TOTAL LANCASTER-LITTLE ROCK-PIUTE</t>
  </si>
  <si>
    <t>PIUTE-REDMAN</t>
  </si>
  <si>
    <t>Indicates only the portion of the circuit that is considered under ISO control.</t>
  </si>
  <si>
    <t>TRANSMISSION LINE COST BY</t>
  </si>
  <si>
    <t xml:space="preserve">OPERATING VOLTAGE / LOCATION NO. </t>
  </si>
  <si>
    <t>OPERATING VOLTAGE /</t>
  </si>
  <si>
    <t>COST PER</t>
  </si>
  <si>
    <t>LOCATION NO.</t>
  </si>
  <si>
    <t>MILE</t>
  </si>
  <si>
    <t>CIRCUITS</t>
  </si>
  <si>
    <t>1000 kV TRANSMISSION LINES</t>
  </si>
  <si>
    <t>500 kV TRANSMISSION LINES</t>
  </si>
  <si>
    <t>220 kV TRANSMISSION LINES</t>
  </si>
  <si>
    <t>Designed at 500kV</t>
  </si>
  <si>
    <t>*  Cost allocated between operating voltages by pole miles.</t>
  </si>
  <si>
    <t>161 kV TRANSMISSION LINES</t>
  </si>
  <si>
    <t>115 kV TRANSMISSION LINES</t>
  </si>
  <si>
    <t>*Designed at 220kV</t>
  </si>
  <si>
    <t>OH*</t>
  </si>
  <si>
    <t>UG*</t>
  </si>
  <si>
    <t>66 / 55 / 33 kV TRANSMISSION LINES</t>
  </si>
  <si>
    <t>Lytle Creek 12kV Line</t>
  </si>
  <si>
    <t>*Designed at 115kV</t>
  </si>
  <si>
    <t xml:space="preserve"> OH*Designed at 115kV</t>
  </si>
  <si>
    <t>TOTAL 66 / 55 / 33kV T/L'S</t>
  </si>
  <si>
    <t>TOTAL ALL T/L'S</t>
  </si>
  <si>
    <t>Totals including exclusions</t>
  </si>
  <si>
    <t>SERRANO SUB</t>
  </si>
  <si>
    <t>EL DORADO SUB</t>
  </si>
  <si>
    <t xml:space="preserve">SYLMAR-PAC INTERTIE      </t>
  </si>
  <si>
    <t>GOULD SUBSTATION</t>
  </si>
  <si>
    <t>SANTA CLARA SUBSTATION</t>
  </si>
  <si>
    <t>MIRA LOMA SUBSTATION</t>
  </si>
  <si>
    <t>VIEJO SUBSTATION</t>
  </si>
  <si>
    <t>4XXX locns excluded from Study</t>
  </si>
  <si>
    <t>FERC FORM 1 Totals</t>
  </si>
  <si>
    <t>EKWRA Reconfiguration</t>
  </si>
  <si>
    <t>1 = Assuming EKWRA Reconfiguration HAS occurred</t>
  </si>
  <si>
    <t>2 = Assuming EKWRA Reconfiguration HAS NOT occurred</t>
  </si>
  <si>
    <t>TAG</t>
  </si>
  <si>
    <t>EKWRA Affected</t>
  </si>
  <si>
    <t>EKWRA Change</t>
  </si>
  <si>
    <r>
      <t xml:space="preserve">Assuming EKWRA Reconfiguration </t>
    </r>
    <r>
      <rPr>
        <b/>
        <sz val="10"/>
        <rFont val="Calibri"/>
        <family val="2"/>
      </rPr>
      <t>HAS</t>
    </r>
    <r>
      <rPr>
        <sz val="10"/>
        <rFont val="Calibri"/>
        <family val="2"/>
      </rPr>
      <t xml:space="preserve"> occurred</t>
    </r>
  </si>
  <si>
    <r>
      <t xml:space="preserve">Assuming EKWRA Reconfiguration </t>
    </r>
    <r>
      <rPr>
        <b/>
        <sz val="10"/>
        <rFont val="Calibri"/>
        <family val="2"/>
      </rPr>
      <t>HAS NOT</t>
    </r>
    <r>
      <rPr>
        <sz val="10"/>
        <rFont val="Calibri"/>
        <family val="2"/>
      </rPr>
      <t xml:space="preserve"> occurred</t>
    </r>
  </si>
  <si>
    <t>EKWRA TL Affected</t>
  </si>
  <si>
    <t>EKWRA TL Change</t>
  </si>
  <si>
    <t>Johanna</t>
  </si>
  <si>
    <t>NON-ISO RELATED PLANT</t>
  </si>
  <si>
    <t>Straddle Substations:</t>
  </si>
  <si>
    <t>Total Straddle Substations</t>
  </si>
  <si>
    <t>2110</t>
  </si>
  <si>
    <t>2211</t>
  </si>
  <si>
    <t>2237</t>
  </si>
  <si>
    <t>2304</t>
  </si>
  <si>
    <t>Lundy</t>
  </si>
  <si>
    <t>2560</t>
  </si>
  <si>
    <t>Eastern T/S Region</t>
  </si>
  <si>
    <t>4500</t>
  </si>
  <si>
    <t>5033</t>
  </si>
  <si>
    <t>Kramer</t>
  </si>
  <si>
    <t>5613</t>
  </si>
  <si>
    <t>5662</t>
  </si>
  <si>
    <t>Customer Service</t>
  </si>
  <si>
    <t>8020</t>
  </si>
  <si>
    <t>8022</t>
  </si>
  <si>
    <t>San Onofre Switchrack</t>
  </si>
  <si>
    <t>8296</t>
  </si>
  <si>
    <t>8340</t>
  </si>
  <si>
    <t>9231</t>
  </si>
  <si>
    <t>5631</t>
  </si>
  <si>
    <t>2120</t>
  </si>
  <si>
    <t>2202</t>
  </si>
  <si>
    <t>2229</t>
  </si>
  <si>
    <t>2230</t>
  </si>
  <si>
    <t>2234</t>
  </si>
  <si>
    <t>2238</t>
  </si>
  <si>
    <t>2317</t>
  </si>
  <si>
    <t>2319</t>
  </si>
  <si>
    <t>2512</t>
  </si>
  <si>
    <t>2522</t>
  </si>
  <si>
    <t>2523</t>
  </si>
  <si>
    <t>2524</t>
  </si>
  <si>
    <t>2557</t>
  </si>
  <si>
    <t>2561</t>
  </si>
  <si>
    <t>2570</t>
  </si>
  <si>
    <t>2580</t>
  </si>
  <si>
    <t>2582</t>
  </si>
  <si>
    <t>2583</t>
  </si>
  <si>
    <t>2589</t>
  </si>
  <si>
    <t>2594</t>
  </si>
  <si>
    <t>2598</t>
  </si>
  <si>
    <t>2604</t>
  </si>
  <si>
    <t>2609</t>
  </si>
  <si>
    <t>2610</t>
  </si>
  <si>
    <t>2611</t>
  </si>
  <si>
    <t>2612</t>
  </si>
  <si>
    <t>3064</t>
  </si>
  <si>
    <t>4105</t>
  </si>
  <si>
    <t>5014</t>
  </si>
  <si>
    <t>5042</t>
  </si>
  <si>
    <t>5059</t>
  </si>
  <si>
    <t>5064</t>
  </si>
  <si>
    <t>5069</t>
  </si>
  <si>
    <t>5075</t>
  </si>
  <si>
    <t>5081</t>
  </si>
  <si>
    <t>5082</t>
  </si>
  <si>
    <t>5084</t>
  </si>
  <si>
    <t>5096</t>
  </si>
  <si>
    <t>5100</t>
  </si>
  <si>
    <t>5101</t>
  </si>
  <si>
    <t>5102</t>
  </si>
  <si>
    <t>5103</t>
  </si>
  <si>
    <t>5104</t>
  </si>
  <si>
    <t>5105</t>
  </si>
  <si>
    <t>5106</t>
  </si>
  <si>
    <t>5107</t>
  </si>
  <si>
    <t>5108</t>
  </si>
  <si>
    <t>5109</t>
  </si>
  <si>
    <t>5110</t>
  </si>
  <si>
    <t>5111</t>
  </si>
  <si>
    <t>5113</t>
  </si>
  <si>
    <t>5114</t>
  </si>
  <si>
    <t>5115</t>
  </si>
  <si>
    <t>5116</t>
  </si>
  <si>
    <t>5119</t>
  </si>
  <si>
    <t>5120</t>
  </si>
  <si>
    <t>5121</t>
  </si>
  <si>
    <t>5122</t>
  </si>
  <si>
    <t>5125</t>
  </si>
  <si>
    <t>5126</t>
  </si>
  <si>
    <t>5127</t>
  </si>
  <si>
    <t>5128</t>
  </si>
  <si>
    <t>5129</t>
  </si>
  <si>
    <t>5130</t>
  </si>
  <si>
    <t>5131</t>
  </si>
  <si>
    <t>5132</t>
  </si>
  <si>
    <t>5133</t>
  </si>
  <si>
    <t>5134</t>
  </si>
  <si>
    <t>5135</t>
  </si>
  <si>
    <t>5136</t>
  </si>
  <si>
    <t>5138</t>
  </si>
  <si>
    <t>5139</t>
  </si>
  <si>
    <t>5141</t>
  </si>
  <si>
    <t>5142</t>
  </si>
  <si>
    <t>5143</t>
  </si>
  <si>
    <t>5144</t>
  </si>
  <si>
    <t>5145</t>
  </si>
  <si>
    <t>5146</t>
  </si>
  <si>
    <t>5147</t>
  </si>
  <si>
    <t>5148</t>
  </si>
  <si>
    <t>5149</t>
  </si>
  <si>
    <t>5150</t>
  </si>
  <si>
    <t>5151</t>
  </si>
  <si>
    <t>5152</t>
  </si>
  <si>
    <t>5153</t>
  </si>
  <si>
    <t>5154</t>
  </si>
  <si>
    <t>5157</t>
  </si>
  <si>
    <t>5158</t>
  </si>
  <si>
    <t>5159</t>
  </si>
  <si>
    <t>5160</t>
  </si>
  <si>
    <t>5161</t>
  </si>
  <si>
    <t>5162</t>
  </si>
  <si>
    <t>5164</t>
  </si>
  <si>
    <t>5167</t>
  </si>
  <si>
    <t>5168</t>
  </si>
  <si>
    <t>5169</t>
  </si>
  <si>
    <t>5170</t>
  </si>
  <si>
    <t>5171</t>
  </si>
  <si>
    <t>5172</t>
  </si>
  <si>
    <t>5173</t>
  </si>
  <si>
    <t>5175</t>
  </si>
  <si>
    <t>5178</t>
  </si>
  <si>
    <t>5179</t>
  </si>
  <si>
    <t>5180</t>
  </si>
  <si>
    <t>5181</t>
  </si>
  <si>
    <t>5182</t>
  </si>
  <si>
    <t>5184</t>
  </si>
  <si>
    <t>5185</t>
  </si>
  <si>
    <t>5186</t>
  </si>
  <si>
    <t>5187</t>
  </si>
  <si>
    <t>5188</t>
  </si>
  <si>
    <t>5190</t>
  </si>
  <si>
    <t>5191</t>
  </si>
  <si>
    <t>5192</t>
  </si>
  <si>
    <t>5193</t>
  </si>
  <si>
    <t>5194</t>
  </si>
  <si>
    <t>5195</t>
  </si>
  <si>
    <t>5196</t>
  </si>
  <si>
    <t>5198</t>
  </si>
  <si>
    <t>5201</t>
  </si>
  <si>
    <t>5202</t>
  </si>
  <si>
    <t>5204</t>
  </si>
  <si>
    <t>5205</t>
  </si>
  <si>
    <t>5206</t>
  </si>
  <si>
    <t>5207</t>
  </si>
  <si>
    <t>5208</t>
  </si>
  <si>
    <t>5209</t>
  </si>
  <si>
    <t>5210</t>
  </si>
  <si>
    <t>5211</t>
  </si>
  <si>
    <t>5212</t>
  </si>
  <si>
    <t>5213</t>
  </si>
  <si>
    <t>5214</t>
  </si>
  <si>
    <t>5215</t>
  </si>
  <si>
    <t>5216</t>
  </si>
  <si>
    <t>5217</t>
  </si>
  <si>
    <t>5218</t>
  </si>
  <si>
    <t>5219</t>
  </si>
  <si>
    <t>5220</t>
  </si>
  <si>
    <t>5221</t>
  </si>
  <si>
    <t>5222</t>
  </si>
  <si>
    <t>5223</t>
  </si>
  <si>
    <t>5224</t>
  </si>
  <si>
    <t>5225</t>
  </si>
  <si>
    <t>5226</t>
  </si>
  <si>
    <t>5227</t>
  </si>
  <si>
    <t>5228</t>
  </si>
  <si>
    <t>5229</t>
  </si>
  <si>
    <t>5230</t>
  </si>
  <si>
    <t>5231</t>
  </si>
  <si>
    <t>5232</t>
  </si>
  <si>
    <t>5233</t>
  </si>
  <si>
    <t>5235</t>
  </si>
  <si>
    <t>5236</t>
  </si>
  <si>
    <t>5238</t>
  </si>
  <si>
    <t>5239</t>
  </si>
  <si>
    <t>5240</t>
  </si>
  <si>
    <t>5241</t>
  </si>
  <si>
    <t>5242</t>
  </si>
  <si>
    <t>5243</t>
  </si>
  <si>
    <t>5244</t>
  </si>
  <si>
    <t>5245</t>
  </si>
  <si>
    <t>5246</t>
  </si>
  <si>
    <t>5248</t>
  </si>
  <si>
    <t>5249</t>
  </si>
  <si>
    <t>5250</t>
  </si>
  <si>
    <t>5251</t>
  </si>
  <si>
    <t>5252</t>
  </si>
  <si>
    <t>5253</t>
  </si>
  <si>
    <t>5254</t>
  </si>
  <si>
    <t>5255</t>
  </si>
  <si>
    <t>5256</t>
  </si>
  <si>
    <t>5257</t>
  </si>
  <si>
    <t>5258</t>
  </si>
  <si>
    <t>5259</t>
  </si>
  <si>
    <t>5260</t>
  </si>
  <si>
    <t>5261</t>
  </si>
  <si>
    <t>5262</t>
  </si>
  <si>
    <t>5263</t>
  </si>
  <si>
    <t>5264</t>
  </si>
  <si>
    <t>5265</t>
  </si>
  <si>
    <t>5266</t>
  </si>
  <si>
    <t>5267</t>
  </si>
  <si>
    <t>5268</t>
  </si>
  <si>
    <t>5269</t>
  </si>
  <si>
    <t>5270</t>
  </si>
  <si>
    <t>5271</t>
  </si>
  <si>
    <t>5272</t>
  </si>
  <si>
    <t>5273</t>
  </si>
  <si>
    <t>5274</t>
  </si>
  <si>
    <t>5275</t>
  </si>
  <si>
    <t>5276</t>
  </si>
  <si>
    <t>5277</t>
  </si>
  <si>
    <t>5278</t>
  </si>
  <si>
    <t>5279</t>
  </si>
  <si>
    <t>5280</t>
  </si>
  <si>
    <t>5281</t>
  </si>
  <si>
    <t>5282</t>
  </si>
  <si>
    <t>5283</t>
  </si>
  <si>
    <t>5284</t>
  </si>
  <si>
    <t>5285</t>
  </si>
  <si>
    <t>5286</t>
  </si>
  <si>
    <t>5287</t>
  </si>
  <si>
    <t>5288</t>
  </si>
  <si>
    <t>5289</t>
  </si>
  <si>
    <t>5290</t>
  </si>
  <si>
    <t>5291</t>
  </si>
  <si>
    <t>5292</t>
  </si>
  <si>
    <t>5293</t>
  </si>
  <si>
    <t>5294</t>
  </si>
  <si>
    <t>5295</t>
  </si>
  <si>
    <t>5296</t>
  </si>
  <si>
    <t>5301</t>
  </si>
  <si>
    <t>5302</t>
  </si>
  <si>
    <t>5303</t>
  </si>
  <si>
    <t>5304</t>
  </si>
  <si>
    <t>5305</t>
  </si>
  <si>
    <t>5306</t>
  </si>
  <si>
    <t>5307</t>
  </si>
  <si>
    <t>5308</t>
  </si>
  <si>
    <t>5309</t>
  </si>
  <si>
    <t>5310</t>
  </si>
  <si>
    <t>5311</t>
  </si>
  <si>
    <t>5312</t>
  </si>
  <si>
    <t>5313</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</si>
  <si>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</si>
  <si>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</si>
  <si>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</si>
  <si>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</si>
  <si>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</si>
  <si>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</si>
  <si>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</si>
  <si>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</si>
  <si>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</si>
  <si>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</si>
  <si>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</si>
  <si>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</si>
  <si>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</si>
  <si>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</si>
  <si>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</si>
  <si>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</si>
  <si>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</si>
  <si>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</si>
  <si>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</si>
  <si>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</si>
  <si>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</si>
  <si>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t>5336</t>
  </si>
  <si>
    <t>5337</t>
  </si>
  <si>
    <t>5338</t>
  </si>
  <si>
    <t>5339</t>
  </si>
  <si>
    <t>5340</t>
  </si>
  <si>
    <t>5342</t>
  </si>
  <si>
    <t>5343</t>
  </si>
  <si>
    <t>5344</t>
  </si>
  <si>
    <t>5345</t>
  </si>
  <si>
    <t>5346</t>
  </si>
  <si>
    <t>5347</t>
  </si>
  <si>
    <t>5348</t>
  </si>
  <si>
    <t>5350</t>
  </si>
  <si>
    <t>5351</t>
  </si>
  <si>
    <t>5352</t>
  </si>
  <si>
    <t>5353</t>
  </si>
  <si>
    <t>5356</t>
  </si>
  <si>
    <t>5357</t>
  </si>
  <si>
    <t>5358</t>
  </si>
  <si>
    <t>5360</t>
  </si>
  <si>
    <t>5361</t>
  </si>
  <si>
    <t>5362</t>
  </si>
  <si>
    <t>5363</t>
  </si>
  <si>
    <t>5365</t>
  </si>
  <si>
    <t>5366</t>
  </si>
  <si>
    <t>5368</t>
  </si>
  <si>
    <t>5369</t>
  </si>
  <si>
    <t>5370</t>
  </si>
  <si>
    <t>5371</t>
  </si>
  <si>
    <t>5372</t>
  </si>
  <si>
    <t>5373</t>
  </si>
  <si>
    <t>5400</t>
  </si>
  <si>
    <t>5401</t>
  </si>
  <si>
    <t>5402</t>
  </si>
  <si>
    <t>5404</t>
  </si>
  <si>
    <t>5405</t>
  </si>
  <si>
    <t>5406</t>
  </si>
  <si>
    <t>5409</t>
  </si>
  <si>
    <t>5410</t>
  </si>
  <si>
    <t>5411</t>
  </si>
  <si>
    <t>5412</t>
  </si>
  <si>
    <t>5414</t>
  </si>
  <si>
    <t>5415</t>
  </si>
  <si>
    <t>5423</t>
  </si>
  <si>
    <t>5424</t>
  </si>
  <si>
    <t>5425</t>
  </si>
  <si>
    <t>5461</t>
  </si>
  <si>
    <t>5462</t>
  </si>
  <si>
    <t>5463</t>
  </si>
  <si>
    <t>5464</t>
  </si>
  <si>
    <t>5500</t>
  </si>
  <si>
    <t>5502</t>
  </si>
  <si>
    <t>5503</t>
  </si>
  <si>
    <t>5504</t>
  </si>
  <si>
    <t>5505</t>
  </si>
  <si>
    <t>5506</t>
  </si>
  <si>
    <t>5507</t>
  </si>
  <si>
    <t>5508</t>
  </si>
  <si>
    <t>5509</t>
  </si>
  <si>
    <t>5510</t>
  </si>
  <si>
    <t>#5a 5045</t>
  </si>
  <si>
    <t>#5b 1320</t>
  </si>
  <si>
    <t>Recalc based on all other TS locations</t>
  </si>
  <si>
    <t>Allocation % to use</t>
  </si>
  <si>
    <t>Total Locations Reclac'd</t>
  </si>
  <si>
    <t>Total Transmission Substations</t>
  </si>
  <si>
    <t>5511</t>
  </si>
  <si>
    <t>5512</t>
  </si>
  <si>
    <t>5514</t>
  </si>
  <si>
    <t>5515</t>
  </si>
  <si>
    <t>5516</t>
  </si>
  <si>
    <t>5517</t>
  </si>
  <si>
    <t>5518</t>
  </si>
  <si>
    <t>5519</t>
  </si>
  <si>
    <t>5520</t>
  </si>
  <si>
    <t>5521</t>
  </si>
  <si>
    <t>5522</t>
  </si>
  <si>
    <t>5523</t>
  </si>
  <si>
    <t>5524</t>
  </si>
  <si>
    <t>5525</t>
  </si>
  <si>
    <t>5526</t>
  </si>
  <si>
    <t>5527</t>
  </si>
  <si>
    <t>5528</t>
  </si>
  <si>
    <t>5529</t>
  </si>
  <si>
    <t>5530</t>
  </si>
  <si>
    <t>5531</t>
  </si>
  <si>
    <t>5532</t>
  </si>
  <si>
    <t>5534</t>
  </si>
  <si>
    <t>5535</t>
  </si>
  <si>
    <t>5536</t>
  </si>
  <si>
    <t>5538</t>
  </si>
  <si>
    <t>5539</t>
  </si>
  <si>
    <t>5541</t>
  </si>
  <si>
    <t>5542</t>
  </si>
  <si>
    <t>5543</t>
  </si>
  <si>
    <t>5544</t>
  </si>
  <si>
    <t>5545</t>
  </si>
  <si>
    <t>5546</t>
  </si>
  <si>
    <t>5547</t>
  </si>
  <si>
    <t>5548</t>
  </si>
  <si>
    <t>5549</t>
  </si>
  <si>
    <t>5550</t>
  </si>
  <si>
    <t>5551</t>
  </si>
  <si>
    <t>5552</t>
  </si>
  <si>
    <t>5553</t>
  </si>
  <si>
    <t>5554</t>
  </si>
  <si>
    <t>5555</t>
  </si>
  <si>
    <t>5556</t>
  </si>
  <si>
    <t>5557</t>
  </si>
  <si>
    <t>5560</t>
  </si>
  <si>
    <t>5561</t>
  </si>
  <si>
    <t>5562</t>
  </si>
  <si>
    <t>5563</t>
  </si>
  <si>
    <t>5564</t>
  </si>
  <si>
    <t>5565</t>
  </si>
  <si>
    <t>5566</t>
  </si>
  <si>
    <t>5567</t>
  </si>
  <si>
    <t>5568</t>
  </si>
  <si>
    <t>5569</t>
  </si>
  <si>
    <t>5570</t>
  </si>
  <si>
    <t>5572</t>
  </si>
  <si>
    <t>COGEN/RENEWABLE ENERGY SO</t>
  </si>
  <si>
    <t>DEVERS-HINS LN, OTHERS</t>
  </si>
  <si>
    <t>COGEN/RENEW ENGY SOURCES</t>
  </si>
  <si>
    <t>BIG CRK 1-CMP TEN-..-PRTL</t>
  </si>
  <si>
    <t>KERN RIVER3-VESTAL 66 KV</t>
  </si>
  <si>
    <t>CUMMINGS-KERBN RIV1, OTHE</t>
  </si>
  <si>
    <t>BOREL-...-WALKER 66KV LN</t>
  </si>
  <si>
    <t>LUGO-VICTOR LNS, OTHER</t>
  </si>
  <si>
    <t>SPRGVLL-TULE 66KV LN</t>
  </si>
  <si>
    <t>BOREL-WELDON 66KV LN</t>
  </si>
  <si>
    <t>MIRA LOMA-SERRANO LN</t>
  </si>
  <si>
    <t>SANTA ANA LNS 1,2,3</t>
  </si>
  <si>
    <t>VINCENT-PEARBLOSSOM LN</t>
  </si>
  <si>
    <t>LUCERNE-LUGO/MIRA LOMA LN</t>
  </si>
  <si>
    <t>BIG CRK 3-MAMMOTH POOL</t>
  </si>
  <si>
    <t>CENTER-MESA 220KV LN</t>
  </si>
  <si>
    <t>ETIWANDA-PADUA 220KV LN</t>
  </si>
  <si>
    <t>33&amp;66KV LNS IN NRTHEN T/S</t>
  </si>
  <si>
    <t>LEE VINING-LUNDY 55K 4771</t>
  </si>
  <si>
    <t>BISHOP CRK55&amp;115KV LINES</t>
  </si>
  <si>
    <t>5573</t>
  </si>
  <si>
    <t>5574</t>
  </si>
  <si>
    <t>5575</t>
  </si>
  <si>
    <t>5576</t>
  </si>
  <si>
    <t>5577</t>
  </si>
  <si>
    <t>5578</t>
  </si>
  <si>
    <t>5579</t>
  </si>
  <si>
    <t>5580</t>
  </si>
  <si>
    <t>5581</t>
  </si>
  <si>
    <t>5582</t>
  </si>
  <si>
    <t>5584</t>
  </si>
  <si>
    <t>5585</t>
  </si>
  <si>
    <t>5587</t>
  </si>
  <si>
    <t>5589</t>
  </si>
  <si>
    <t>5591</t>
  </si>
  <si>
    <t>5594</t>
  </si>
  <si>
    <t>5595</t>
  </si>
  <si>
    <t>5596</t>
  </si>
  <si>
    <t>5597</t>
  </si>
  <si>
    <t>5599</t>
  </si>
  <si>
    <t>5600</t>
  </si>
  <si>
    <t>5601</t>
  </si>
  <si>
    <t>5602</t>
  </si>
  <si>
    <t>5603</t>
  </si>
  <si>
    <t>5604</t>
  </si>
  <si>
    <t>5605</t>
  </si>
  <si>
    <t>5606</t>
  </si>
  <si>
    <t>5607</t>
  </si>
  <si>
    <t>5608</t>
  </si>
  <si>
    <t>5609</t>
  </si>
  <si>
    <t>5610</t>
  </si>
  <si>
    <t>5611</t>
  </si>
  <si>
    <t>5612</t>
  </si>
  <si>
    <t>5614</t>
  </si>
  <si>
    <t>5615</t>
  </si>
  <si>
    <t>5616</t>
  </si>
  <si>
    <t>5617</t>
  </si>
  <si>
    <t>5618</t>
  </si>
  <si>
    <t>5619</t>
  </si>
  <si>
    <t>5620</t>
  </si>
  <si>
    <t>5621</t>
  </si>
  <si>
    <t>5622</t>
  </si>
  <si>
    <t>5624</t>
  </si>
  <si>
    <t>5625</t>
  </si>
  <si>
    <t>5626</t>
  </si>
  <si>
    <t>5627</t>
  </si>
  <si>
    <t>5628</t>
  </si>
  <si>
    <t>5629</t>
  </si>
  <si>
    <t>5630</t>
  </si>
  <si>
    <t>5632</t>
  </si>
  <si>
    <t>5633</t>
  </si>
  <si>
    <t>5634</t>
  </si>
  <si>
    <t>5635</t>
  </si>
  <si>
    <t>5636</t>
  </si>
  <si>
    <t>5637</t>
  </si>
  <si>
    <t>5638</t>
  </si>
  <si>
    <t>5639</t>
  </si>
  <si>
    <t>5640</t>
  </si>
  <si>
    <t>5641</t>
  </si>
  <si>
    <t>5644</t>
  </si>
  <si>
    <t>5645</t>
  </si>
  <si>
    <t>5646</t>
  </si>
  <si>
    <t>5647</t>
  </si>
  <si>
    <t>5648</t>
  </si>
  <si>
    <t>5650</t>
  </si>
  <si>
    <t>5652</t>
  </si>
  <si>
    <t>5653</t>
  </si>
  <si>
    <t>5654</t>
  </si>
  <si>
    <t>5655</t>
  </si>
  <si>
    <t>5656</t>
  </si>
  <si>
    <t>5657</t>
  </si>
  <si>
    <t>5658</t>
  </si>
  <si>
    <t>5659</t>
  </si>
  <si>
    <t>5661</t>
  </si>
  <si>
    <t>5663</t>
  </si>
  <si>
    <t>5664</t>
  </si>
  <si>
    <t>5665</t>
  </si>
  <si>
    <t>5667</t>
  </si>
  <si>
    <t>5668</t>
  </si>
  <si>
    <t>5670</t>
  </si>
  <si>
    <t>5672</t>
  </si>
  <si>
    <t>5674</t>
  </si>
  <si>
    <t>5677</t>
  </si>
  <si>
    <t>5678</t>
  </si>
  <si>
    <t>5679</t>
  </si>
  <si>
    <t>5680</t>
  </si>
  <si>
    <t>5681</t>
  </si>
  <si>
    <t>5682</t>
  </si>
  <si>
    <t>5683</t>
  </si>
  <si>
    <t>5685</t>
  </si>
  <si>
    <t>5686</t>
  </si>
  <si>
    <t>5688</t>
  </si>
  <si>
    <t>5690</t>
  </si>
  <si>
    <t>5694</t>
  </si>
  <si>
    <t>5695</t>
  </si>
  <si>
    <t>5696</t>
  </si>
  <si>
    <t>5697</t>
  </si>
  <si>
    <t>5699</t>
  </si>
  <si>
    <t>5701</t>
  </si>
  <si>
    <t>5702</t>
  </si>
  <si>
    <t>5704</t>
  </si>
  <si>
    <t>5705</t>
  </si>
  <si>
    <t>5706</t>
  </si>
  <si>
    <t>5707</t>
  </si>
  <si>
    <t>5708</t>
  </si>
  <si>
    <t>5709</t>
  </si>
  <si>
    <t>5710</t>
  </si>
  <si>
    <t>5711</t>
  </si>
  <si>
    <t>5712</t>
  </si>
  <si>
    <t>5714</t>
  </si>
  <si>
    <t>5717</t>
  </si>
  <si>
    <t>5718</t>
  </si>
  <si>
    <t>5719</t>
  </si>
  <si>
    <t>5720</t>
  </si>
  <si>
    <t>5721</t>
  </si>
  <si>
    <t>5722</t>
  </si>
  <si>
    <t>5723</t>
  </si>
  <si>
    <t>5725</t>
  </si>
  <si>
    <t>5726</t>
  </si>
  <si>
    <t>5727</t>
  </si>
  <si>
    <t>5728</t>
  </si>
  <si>
    <t>5730</t>
  </si>
  <si>
    <t>5731</t>
  </si>
  <si>
    <t>5732</t>
  </si>
  <si>
    <t>5733</t>
  </si>
  <si>
    <t>5734</t>
  </si>
  <si>
    <t>5735</t>
  </si>
  <si>
    <t>5738</t>
  </si>
  <si>
    <t>5739</t>
  </si>
  <si>
    <t>5740</t>
  </si>
  <si>
    <t>5741</t>
  </si>
  <si>
    <t>5742</t>
  </si>
  <si>
    <t>5744</t>
  </si>
  <si>
    <t>5745</t>
  </si>
  <si>
    <t>5746</t>
  </si>
  <si>
    <t>5749</t>
  </si>
  <si>
    <t>5750</t>
  </si>
  <si>
    <t>5751</t>
  </si>
  <si>
    <t>5753</t>
  </si>
  <si>
    <t>5754</t>
  </si>
  <si>
    <t>5755</t>
  </si>
  <si>
    <t>5756</t>
  </si>
  <si>
    <t>5757</t>
  </si>
  <si>
    <t>5758</t>
  </si>
  <si>
    <t>5759</t>
  </si>
  <si>
    <t>5760</t>
  </si>
  <si>
    <t>5763</t>
  </si>
  <si>
    <t>5765</t>
  </si>
  <si>
    <t>5766</t>
  </si>
  <si>
    <t>5767</t>
  </si>
  <si>
    <t>5768</t>
  </si>
  <si>
    <t>5769</t>
  </si>
  <si>
    <t>5770</t>
  </si>
  <si>
    <t>5771</t>
  </si>
  <si>
    <t>5772</t>
  </si>
  <si>
    <t>5773</t>
  </si>
  <si>
    <t>5774</t>
  </si>
  <si>
    <t>5775</t>
  </si>
  <si>
    <t>5776</t>
  </si>
  <si>
    <t>5777</t>
  </si>
  <si>
    <t>5779</t>
  </si>
  <si>
    <t>5780</t>
  </si>
  <si>
    <t>5781</t>
  </si>
  <si>
    <t>5782</t>
  </si>
  <si>
    <t>5783</t>
  </si>
  <si>
    <t>5784</t>
  </si>
  <si>
    <t>5785</t>
  </si>
  <si>
    <t>5787</t>
  </si>
  <si>
    <t>5788</t>
  </si>
  <si>
    <t>5789</t>
  </si>
  <si>
    <t>5790</t>
  </si>
  <si>
    <t>5791</t>
  </si>
  <si>
    <t>5792</t>
  </si>
  <si>
    <t>5794</t>
  </si>
  <si>
    <t>5795</t>
  </si>
  <si>
    <t>5796</t>
  </si>
  <si>
    <t>5797</t>
  </si>
  <si>
    <t>5798</t>
  </si>
  <si>
    <t>5799</t>
  </si>
  <si>
    <t>5800</t>
  </si>
  <si>
    <t>5801</t>
  </si>
  <si>
    <t>5802</t>
  </si>
  <si>
    <t>5803</t>
  </si>
  <si>
    <t>5804</t>
  </si>
  <si>
    <t>5805</t>
  </si>
  <si>
    <t>5806</t>
  </si>
  <si>
    <t>5807</t>
  </si>
  <si>
    <t>5808</t>
  </si>
  <si>
    <t>5809</t>
  </si>
  <si>
    <t>5810</t>
  </si>
  <si>
    <t>5811</t>
  </si>
  <si>
    <t>5812</t>
  </si>
  <si>
    <t>5813</t>
  </si>
  <si>
    <t>5814</t>
  </si>
  <si>
    <t>5815</t>
  </si>
  <si>
    <t>5816</t>
  </si>
  <si>
    <t>5817</t>
  </si>
  <si>
    <t>5818</t>
  </si>
  <si>
    <t>5819</t>
  </si>
  <si>
    <t>5820</t>
  </si>
  <si>
    <t>5821</t>
  </si>
  <si>
    <t>5822</t>
  </si>
  <si>
    <t>5823</t>
  </si>
  <si>
    <t>5824</t>
  </si>
  <si>
    <t>5825</t>
  </si>
  <si>
    <t>5826</t>
  </si>
  <si>
    <t>5828</t>
  </si>
  <si>
    <t>5829</t>
  </si>
  <si>
    <t>5830</t>
  </si>
  <si>
    <t>5832</t>
  </si>
  <si>
    <t>5833</t>
  </si>
  <si>
    <t>5834</t>
  </si>
  <si>
    <t>5835</t>
  </si>
  <si>
    <t>5836</t>
  </si>
  <si>
    <t>5837</t>
  </si>
  <si>
    <t>5838</t>
  </si>
  <si>
    <t>5840</t>
  </si>
  <si>
    <t>5841</t>
  </si>
  <si>
    <t>5842</t>
  </si>
  <si>
    <t>5843</t>
  </si>
  <si>
    <t>5844</t>
  </si>
  <si>
    <t>5845</t>
  </si>
  <si>
    <t>5846</t>
  </si>
  <si>
    <t>5848</t>
  </si>
  <si>
    <t>5849</t>
  </si>
  <si>
    <t>5850</t>
  </si>
  <si>
    <t>5851</t>
  </si>
  <si>
    <t>5852</t>
  </si>
  <si>
    <t>5853</t>
  </si>
  <si>
    <t>5854</t>
  </si>
  <si>
    <t>5856</t>
  </si>
  <si>
    <t>5857</t>
  </si>
  <si>
    <t>5859</t>
  </si>
  <si>
    <t>5860</t>
  </si>
  <si>
    <t>5861</t>
  </si>
  <si>
    <t>5862</t>
  </si>
  <si>
    <t>5863</t>
  </si>
  <si>
    <t>5864</t>
  </si>
  <si>
    <t>5865</t>
  </si>
  <si>
    <t>5866</t>
  </si>
  <si>
    <t>5867</t>
  </si>
  <si>
    <t>5869</t>
  </si>
  <si>
    <t>5870</t>
  </si>
  <si>
    <t>5871</t>
  </si>
  <si>
    <t>5872</t>
  </si>
  <si>
    <t>5873</t>
  </si>
  <si>
    <t>5874</t>
  </si>
  <si>
    <t>5875</t>
  </si>
  <si>
    <t>5878</t>
  </si>
  <si>
    <t>5879</t>
  </si>
  <si>
    <t>5880</t>
  </si>
  <si>
    <t>5883</t>
  </si>
  <si>
    <t>5884</t>
  </si>
  <si>
    <t>5885</t>
  </si>
  <si>
    <t>5886</t>
  </si>
  <si>
    <t>5887</t>
  </si>
  <si>
    <t>5888</t>
  </si>
  <si>
    <t>5889</t>
  </si>
  <si>
    <t>5890</t>
  </si>
  <si>
    <t>5891</t>
  </si>
  <si>
    <t>5892</t>
  </si>
  <si>
    <t>5893</t>
  </si>
  <si>
    <t>5894</t>
  </si>
  <si>
    <t>5895</t>
  </si>
  <si>
    <t>5896</t>
  </si>
  <si>
    <t>5897</t>
  </si>
  <si>
    <t>5898</t>
  </si>
  <si>
    <t>5899</t>
  </si>
  <si>
    <t>5901</t>
  </si>
  <si>
    <t>6061</t>
  </si>
  <si>
    <t>6072</t>
  </si>
  <si>
    <t>GENERATION RELATED PLANT COST</t>
  </si>
  <si>
    <t>IS0 RELATED PLANT COST</t>
  </si>
  <si>
    <t>8018</t>
  </si>
  <si>
    <t>8036</t>
  </si>
  <si>
    <t>8055</t>
  </si>
  <si>
    <t>8072</t>
  </si>
  <si>
    <t>8073</t>
  </si>
  <si>
    <t>8076</t>
  </si>
  <si>
    <t>8077</t>
  </si>
  <si>
    <t>8079</t>
  </si>
  <si>
    <t>8096</t>
  </si>
  <si>
    <t>8102</t>
  </si>
  <si>
    <t>8103</t>
  </si>
  <si>
    <t>8104</t>
  </si>
  <si>
    <t>8105</t>
  </si>
  <si>
    <t>8106</t>
  </si>
  <si>
    <t>8110</t>
  </si>
  <si>
    <t>8113</t>
  </si>
  <si>
    <t>8117</t>
  </si>
  <si>
    <t>8118</t>
  </si>
  <si>
    <t>8119</t>
  </si>
  <si>
    <t>8120</t>
  </si>
  <si>
    <t>8121</t>
  </si>
  <si>
    <t>8122</t>
  </si>
  <si>
    <t>8123</t>
  </si>
  <si>
    <t>8124</t>
  </si>
  <si>
    <t>8126</t>
  </si>
  <si>
    <t>8130</t>
  </si>
  <si>
    <t>8132</t>
  </si>
  <si>
    <t>LUGO-RANCHO VISTA</t>
  </si>
  <si>
    <t>MIRA LOMA-RANCHO VISTA</t>
  </si>
  <si>
    <t>ETIWANDA-RANCHO VISTA No1</t>
  </si>
  <si>
    <t>ETIWANDA-RANCHO VISTA No2</t>
  </si>
  <si>
    <t>LANCASTER-PURIFY-REDMAN</t>
  </si>
  <si>
    <t xml:space="preserve">MET T/S REGION           </t>
  </si>
  <si>
    <t xml:space="preserve">COASTAL T/S REGION       </t>
  </si>
  <si>
    <t xml:space="preserve">EASTERN T/S REGION       </t>
  </si>
  <si>
    <t xml:space="preserve">VALLEY-INLAND 500KV TL   </t>
  </si>
  <si>
    <t>VAR. TRANS. LINES-S/E DIV</t>
  </si>
  <si>
    <t>Non 4xxx locns excluded from Study*</t>
  </si>
  <si>
    <t>PALOVERDE NUCL GEN PLT-U1</t>
  </si>
  <si>
    <t xml:space="preserve">PALO VERDE-UNIT 2        </t>
  </si>
  <si>
    <t xml:space="preserve">PALO VERDE-UNIT 3        </t>
  </si>
  <si>
    <t xml:space="preserve">TELCOMM-ALHAMBRA         </t>
  </si>
  <si>
    <t xml:space="preserve">SUN CITY(NEW)            </t>
  </si>
  <si>
    <t xml:space="preserve">MARSCHINO SUB            </t>
  </si>
  <si>
    <t xml:space="preserve">EISENHOWER SUB           </t>
  </si>
  <si>
    <t xml:space="preserve">MORAGA                   </t>
  </si>
  <si>
    <t>*Rows hidden in Non4xxx Locations</t>
  </si>
  <si>
    <t>8133</t>
  </si>
  <si>
    <t>8136</t>
  </si>
  <si>
    <t>8137</t>
  </si>
  <si>
    <t>8139</t>
  </si>
  <si>
    <t>8140</t>
  </si>
  <si>
    <t>8141</t>
  </si>
  <si>
    <t>8143</t>
  </si>
  <si>
    <t>8148</t>
  </si>
  <si>
    <t>8149</t>
  </si>
  <si>
    <t>8151</t>
  </si>
  <si>
    <t>8152</t>
  </si>
  <si>
    <t>8154</t>
  </si>
  <si>
    <t>8156</t>
  </si>
  <si>
    <t>8159</t>
  </si>
  <si>
    <t>8160</t>
  </si>
  <si>
    <t>8161</t>
  </si>
  <si>
    <t>8162</t>
  </si>
  <si>
    <t>8163</t>
  </si>
  <si>
    <t>8164</t>
  </si>
  <si>
    <t>8167</t>
  </si>
  <si>
    <t>8168</t>
  </si>
  <si>
    <t>8170</t>
  </si>
  <si>
    <t>8171</t>
  </si>
  <si>
    <t>8172</t>
  </si>
  <si>
    <t>8176</t>
  </si>
  <si>
    <t>8190</t>
  </si>
  <si>
    <t>8193</t>
  </si>
  <si>
    <t>8195</t>
  </si>
  <si>
    <t>8196</t>
  </si>
  <si>
    <t>8197</t>
  </si>
  <si>
    <t>8198</t>
  </si>
  <si>
    <t>8199</t>
  </si>
  <si>
    <t>8204</t>
  </si>
  <si>
    <t>8205</t>
  </si>
  <si>
    <t>8206</t>
  </si>
  <si>
    <t>8207</t>
  </si>
  <si>
    <t>8209</t>
  </si>
  <si>
    <t>8210</t>
  </si>
  <si>
    <t>8211</t>
  </si>
  <si>
    <t>8212</t>
  </si>
  <si>
    <t>8214</t>
  </si>
  <si>
    <t>8215</t>
  </si>
  <si>
    <t>8216</t>
  </si>
  <si>
    <t>8219</t>
  </si>
  <si>
    <t>Kramer &amp; Kramer-Radial Line Agmt</t>
  </si>
  <si>
    <t>2510 &amp; 2560</t>
  </si>
  <si>
    <t>San Bernardino-220kv Switchyard &amp; 220kv to 66kv</t>
  </si>
  <si>
    <t>Inyokern (CEP) &amp; Inyokern</t>
  </si>
  <si>
    <t>Valley &amp; Valley - CEP</t>
  </si>
  <si>
    <t>8220</t>
  </si>
  <si>
    <t>8221</t>
  </si>
  <si>
    <t>8222</t>
  </si>
  <si>
    <t>8225</t>
  </si>
  <si>
    <t>8226</t>
  </si>
  <si>
    <t>8227</t>
  </si>
  <si>
    <t>8228</t>
  </si>
  <si>
    <t>8231</t>
  </si>
  <si>
    <t>8234</t>
  </si>
  <si>
    <t>8235</t>
  </si>
  <si>
    <t>8238</t>
  </si>
  <si>
    <t>8239</t>
  </si>
  <si>
    <t>8243</t>
  </si>
  <si>
    <t>8244</t>
  </si>
  <si>
    <t>8250</t>
  </si>
  <si>
    <t>8251</t>
  </si>
  <si>
    <t>8252</t>
  </si>
  <si>
    <t>8255</t>
  </si>
  <si>
    <t>8259</t>
  </si>
  <si>
    <t>8260</t>
  </si>
  <si>
    <t>8262</t>
  </si>
  <si>
    <t>8263</t>
  </si>
  <si>
    <t>8265</t>
  </si>
  <si>
    <t>8266</t>
  </si>
  <si>
    <t>8267</t>
  </si>
  <si>
    <t>8268</t>
  </si>
  <si>
    <t>8269</t>
  </si>
  <si>
    <t>8273</t>
  </si>
  <si>
    <t>8275</t>
  </si>
  <si>
    <t>8279</t>
  </si>
  <si>
    <t>8283</t>
  </si>
  <si>
    <t>8294</t>
  </si>
  <si>
    <t>8297</t>
  </si>
  <si>
    <t>8299</t>
  </si>
  <si>
    <t>8302</t>
  </si>
  <si>
    <t>8312</t>
  </si>
  <si>
    <t>8342</t>
  </si>
  <si>
    <t>8343</t>
  </si>
  <si>
    <t>8344</t>
  </si>
  <si>
    <t>8345</t>
  </si>
  <si>
    <t>8348</t>
  </si>
  <si>
    <t>8502</t>
  </si>
  <si>
    <t>8503</t>
  </si>
  <si>
    <t>8505</t>
  </si>
  <si>
    <t>8507</t>
  </si>
  <si>
    <t>8509</t>
  </si>
  <si>
    <t>8510</t>
  </si>
  <si>
    <t>8550</t>
  </si>
  <si>
    <t>8553</t>
  </si>
  <si>
    <t>8555</t>
  </si>
  <si>
    <t>8556</t>
  </si>
  <si>
    <t>8557</t>
  </si>
  <si>
    <t>8558</t>
  </si>
  <si>
    <t>8559</t>
  </si>
  <si>
    <t>8801</t>
  </si>
  <si>
    <t>8802</t>
  </si>
  <si>
    <t>8804</t>
  </si>
  <si>
    <t>8805</t>
  </si>
  <si>
    <t>8807</t>
  </si>
  <si>
    <t>8808</t>
  </si>
  <si>
    <t>8810</t>
  </si>
  <si>
    <t>8811</t>
  </si>
  <si>
    <t>8812</t>
  </si>
  <si>
    <t>8813</t>
  </si>
  <si>
    <t>8814</t>
  </si>
  <si>
    <t>8817</t>
  </si>
  <si>
    <t>8818</t>
  </si>
  <si>
    <t>8820</t>
  </si>
  <si>
    <t>8822</t>
  </si>
  <si>
    <t>8824</t>
  </si>
  <si>
    <t>8825</t>
  </si>
  <si>
    <t>8827</t>
  </si>
  <si>
    <t>9033</t>
  </si>
  <si>
    <t>9047</t>
  </si>
  <si>
    <t>9077</t>
  </si>
  <si>
    <t>9310</t>
  </si>
  <si>
    <t>9430</t>
  </si>
  <si>
    <t>9440</t>
  </si>
  <si>
    <t>9679</t>
  </si>
  <si>
    <t>9900</t>
  </si>
  <si>
    <t>60--</t>
  </si>
  <si>
    <t>61--</t>
  </si>
  <si>
    <t>62--</t>
  </si>
  <si>
    <t>Transmission/Distribution ISO Facilities Study</t>
  </si>
  <si>
    <t>$</t>
  </si>
  <si>
    <t>Transmission</t>
  </si>
  <si>
    <t>Total
Plant</t>
  </si>
  <si>
    <t>ISO
Plant</t>
  </si>
  <si>
    <t>ISO %
of Total</t>
  </si>
  <si>
    <t>Total Substation</t>
  </si>
  <si>
    <t>Land</t>
  </si>
  <si>
    <t>Lines</t>
  </si>
  <si>
    <t>Total Lines</t>
  </si>
  <si>
    <t>Substation</t>
  </si>
  <si>
    <t>Distribution</t>
  </si>
  <si>
    <t>Land:</t>
  </si>
  <si>
    <t>Structures:</t>
  </si>
  <si>
    <t>TRANSMISSION SUBSTATION FACILITIES</t>
  </si>
  <si>
    <t xml:space="preserve"> TRANSMISSION ACCOUNTS</t>
  </si>
  <si>
    <t>A/C 350</t>
  </si>
  <si>
    <t>A/C 352</t>
  </si>
  <si>
    <t>A/C 353</t>
  </si>
  <si>
    <t>A/C 350-353</t>
  </si>
  <si>
    <t xml:space="preserve">A/C 350
</t>
  </si>
  <si>
    <t>DWP-Edison  Calif</t>
  </si>
  <si>
    <t>DWP-Edison  Nevada</t>
  </si>
  <si>
    <t>Lugo-Vincent</t>
  </si>
  <si>
    <t>Midway-Vincent</t>
  </si>
  <si>
    <t>Lugo-Mira Loma</t>
  </si>
  <si>
    <t>Serrano-Valley</t>
  </si>
  <si>
    <t>Vincent</t>
  </si>
  <si>
    <t>Eldorado</t>
  </si>
  <si>
    <t>Eagle Mountain</t>
  </si>
  <si>
    <t>Antelope</t>
  </si>
  <si>
    <t>Victor</t>
  </si>
  <si>
    <t/>
  </si>
  <si>
    <t>500KV</t>
  </si>
  <si>
    <t>Mandalay-Santa Clara GRT (2 Lines)</t>
  </si>
  <si>
    <t>161KV</t>
  </si>
  <si>
    <t>Difference</t>
  </si>
  <si>
    <t>Structures</t>
  </si>
  <si>
    <t>#108 5049</t>
  </si>
  <si>
    <t>#107 5048</t>
  </si>
  <si>
    <t>#106 2510 &amp; 2560</t>
  </si>
  <si>
    <t>#102 2309</t>
  </si>
  <si>
    <t>#101 2307</t>
  </si>
  <si>
    <t>#100 2303</t>
  </si>
  <si>
    <t>#96 8074</t>
  </si>
  <si>
    <t>#95 8051-8055</t>
  </si>
  <si>
    <t>#94 2234</t>
  </si>
  <si>
    <t>#15 5026 &amp; 1095</t>
  </si>
  <si>
    <t>#17 5096 &amp; 1094</t>
  </si>
  <si>
    <t>#21 5027 &amp; 1088</t>
  </si>
  <si>
    <t>#33 8076 &amp; 1999</t>
  </si>
  <si>
    <t>#50 5042 &amp; 8046</t>
  </si>
  <si>
    <t>#67 5041 &amp; 8040</t>
  </si>
  <si>
    <t>#68 5070 &amp; 8034</t>
  </si>
  <si>
    <t>Determination of High Voltage/Low Voltage Gross Plant Percentage of SCE ISO Transmission Facilities</t>
  </si>
  <si>
    <t>TOTAL TRANSMISSION SUBSTATIONS</t>
  </si>
  <si>
    <t>2150</t>
  </si>
  <si>
    <t>1320</t>
  </si>
  <si>
    <t>352</t>
  </si>
  <si>
    <t>353</t>
  </si>
  <si>
    <t>1330</t>
  </si>
  <si>
    <t>1451</t>
  </si>
  <si>
    <t>1808</t>
  </si>
  <si>
    <t>1809</t>
  </si>
  <si>
    <t>1810</t>
  </si>
  <si>
    <t>1812</t>
  </si>
  <si>
    <t>1818</t>
  </si>
  <si>
    <t>1824</t>
  </si>
  <si>
    <t>1839</t>
  </si>
  <si>
    <t>1860</t>
  </si>
  <si>
    <t>1864</t>
  </si>
  <si>
    <t>1866</t>
  </si>
  <si>
    <t>1867</t>
  </si>
  <si>
    <t>350</t>
  </si>
  <si>
    <t>1869</t>
  </si>
  <si>
    <t>2212</t>
  </si>
  <si>
    <t>2236</t>
  </si>
  <si>
    <t>2239</t>
  </si>
  <si>
    <t>2300</t>
  </si>
  <si>
    <t>2301</t>
  </si>
  <si>
    <t>2303</t>
  </si>
  <si>
    <t>2305</t>
  </si>
  <si>
    <t>2307</t>
  </si>
  <si>
    <t>2309</t>
  </si>
  <si>
    <t>2313</t>
  </si>
  <si>
    <t>2314</t>
  </si>
  <si>
    <t>2315</t>
  </si>
  <si>
    <t>2318</t>
  </si>
  <si>
    <t>2324</t>
  </si>
  <si>
    <t>2325</t>
  </si>
  <si>
    <t>2326</t>
  </si>
  <si>
    <t>2327</t>
  </si>
  <si>
    <t>2328</t>
  </si>
  <si>
    <t>2331</t>
  </si>
  <si>
    <t>2500</t>
  </si>
  <si>
    <t>2501</t>
  </si>
  <si>
    <t>2503</t>
  </si>
  <si>
    <t>2514</t>
  </si>
  <si>
    <t>2525</t>
  </si>
  <si>
    <t>2526</t>
  </si>
  <si>
    <t>2553</t>
  </si>
  <si>
    <t>2556</t>
  </si>
  <si>
    <t>2571</t>
  </si>
  <si>
    <t>3717</t>
  </si>
  <si>
    <t>4026</t>
  </si>
  <si>
    <t>4031</t>
  </si>
  <si>
    <t>4034</t>
  </si>
  <si>
    <t>4101</t>
  </si>
  <si>
    <t>4107</t>
  </si>
  <si>
    <t>4108</t>
  </si>
  <si>
    <t>4114</t>
  </si>
  <si>
    <t>4115</t>
  </si>
  <si>
    <t>4116</t>
  </si>
  <si>
    <t>4117</t>
  </si>
  <si>
    <t>4118</t>
  </si>
  <si>
    <t>4119</t>
  </si>
  <si>
    <t>4120</t>
  </si>
  <si>
    <t>4123</t>
  </si>
  <si>
    <t>4125</t>
  </si>
  <si>
    <t>4138</t>
  </si>
  <si>
    <t>4147</t>
  </si>
  <si>
    <t>4157</t>
  </si>
  <si>
    <t>4169</t>
  </si>
  <si>
    <t>4188</t>
  </si>
  <si>
    <t>4200</t>
  </si>
  <si>
    <t>4300</t>
  </si>
  <si>
    <t>4307</t>
  </si>
  <si>
    <t>4400</t>
  </si>
  <si>
    <t>4600</t>
  </si>
  <si>
    <t>4700</t>
  </si>
  <si>
    <t>4705</t>
  </si>
  <si>
    <t>4750</t>
  </si>
  <si>
    <t>4800</t>
  </si>
  <si>
    <t>5000</t>
  </si>
  <si>
    <t>5001</t>
  </si>
  <si>
    <t>5011</t>
  </si>
  <si>
    <t>5012</t>
  </si>
  <si>
    <t>5013</t>
  </si>
  <si>
    <t>5015</t>
  </si>
  <si>
    <t>5016</t>
  </si>
  <si>
    <t>5019</t>
  </si>
  <si>
    <t>5021</t>
  </si>
  <si>
    <t>5022</t>
  </si>
  <si>
    <t>5023</t>
  </si>
  <si>
    <t>5024</t>
  </si>
  <si>
    <t>5025</t>
  </si>
  <si>
    <t>5028</t>
  </si>
  <si>
    <t>5031</t>
  </si>
  <si>
    <t>5032</t>
  </si>
  <si>
    <t>5034</t>
  </si>
  <si>
    <t>5035</t>
  </si>
  <si>
    <t>5036</t>
  </si>
  <si>
    <t>5038</t>
  </si>
  <si>
    <t>5040</t>
  </si>
  <si>
    <t>5043</t>
  </si>
  <si>
    <t>5044</t>
  </si>
  <si>
    <t>5045</t>
  </si>
  <si>
    <t>5046</t>
  </si>
  <si>
    <t>5047</t>
  </si>
  <si>
    <t>5048</t>
  </si>
  <si>
    <t>5049</t>
  </si>
  <si>
    <t>5050</t>
  </si>
  <si>
    <t>5051</t>
  </si>
  <si>
    <t>5052</t>
  </si>
  <si>
    <t>5053</t>
  </si>
  <si>
    <t>5055</t>
  </si>
  <si>
    <t>5056</t>
  </si>
  <si>
    <t>5058</t>
  </si>
  <si>
    <t>5060</t>
  </si>
  <si>
    <t>5061</t>
  </si>
  <si>
    <t>5062</t>
  </si>
  <si>
    <t>5063</t>
  </si>
  <si>
    <t>5065</t>
  </si>
  <si>
    <t>5066</t>
  </si>
  <si>
    <t>5067</t>
  </si>
  <si>
    <t>5068</t>
  </si>
  <si>
    <t>5071</t>
  </si>
  <si>
    <t>5072</t>
  </si>
  <si>
    <t>5073</t>
  </si>
  <si>
    <t>5074</t>
  </si>
  <si>
    <t>5078</t>
  </si>
  <si>
    <t>5080</t>
  </si>
  <si>
    <t>5083</t>
  </si>
  <si>
    <t>5086</t>
  </si>
  <si>
    <t>5087</t>
  </si>
  <si>
    <t>5088</t>
  </si>
  <si>
    <t>5089</t>
  </si>
  <si>
    <t>5090</t>
  </si>
  <si>
    <t>5091</t>
  </si>
  <si>
    <t>5092</t>
  </si>
  <si>
    <t>5093</t>
  </si>
  <si>
    <t>5094</t>
  </si>
  <si>
    <t>5097</t>
  </si>
  <si>
    <t>5165</t>
  </si>
  <si>
    <t>5374</t>
  </si>
  <si>
    <t>8000</t>
  </si>
  <si>
    <t>8003</t>
  </si>
  <si>
    <t>8004</t>
  </si>
  <si>
    <t>8005</t>
  </si>
  <si>
    <t>8009</t>
  </si>
  <si>
    <t>8010</t>
  </si>
  <si>
    <t>8011</t>
  </si>
  <si>
    <t>8012</t>
  </si>
  <si>
    <t>8013</t>
  </si>
  <si>
    <t>8014</t>
  </si>
  <si>
    <t>8016</t>
  </si>
  <si>
    <t>8017</t>
  </si>
  <si>
    <t>8019</t>
  </si>
  <si>
    <t>8021</t>
  </si>
  <si>
    <t>8023</t>
  </si>
  <si>
    <t>8024</t>
  </si>
  <si>
    <t>8025</t>
  </si>
  <si>
    <t>8026</t>
  </si>
  <si>
    <t>8027</t>
  </si>
  <si>
    <t>8028</t>
  </si>
  <si>
    <t>8029</t>
  </si>
  <si>
    <t>8030</t>
  </si>
  <si>
    <t>8031</t>
  </si>
  <si>
    <t>8032</t>
  </si>
  <si>
    <t>8033</t>
  </si>
  <si>
    <t>8035</t>
  </si>
  <si>
    <t>8037</t>
  </si>
  <si>
    <t>8038</t>
  </si>
  <si>
    <t>8039</t>
  </si>
  <si>
    <t>8041</t>
  </si>
  <si>
    <t>8042</t>
  </si>
  <si>
    <t>8044</t>
  </si>
  <si>
    <t>8045</t>
  </si>
  <si>
    <t>8047</t>
  </si>
  <si>
    <t>8048</t>
  </si>
  <si>
    <t>8049</t>
  </si>
  <si>
    <t>8059</t>
  </si>
  <si>
    <t>8061</t>
  </si>
  <si>
    <t>8063</t>
  </si>
  <si>
    <t>8067</t>
  </si>
  <si>
    <t>8074</t>
  </si>
  <si>
    <t>8075</t>
  </si>
  <si>
    <t>8078</t>
  </si>
  <si>
    <t>8081</t>
  </si>
  <si>
    <t>8082</t>
  </si>
  <si>
    <t>8086</t>
  </si>
  <si>
    <t>8087</t>
  </si>
  <si>
    <t>8088</t>
  </si>
  <si>
    <t>8089</t>
  </si>
  <si>
    <t>8090</t>
  </si>
  <si>
    <t>8091</t>
  </si>
  <si>
    <t>8092</t>
  </si>
  <si>
    <t>8093</t>
  </si>
  <si>
    <t>8094</t>
  </si>
  <si>
    <t>8095</t>
  </si>
  <si>
    <t>8097</t>
  </si>
  <si>
    <t>8098</t>
  </si>
  <si>
    <t>8099</t>
  </si>
  <si>
    <t>8301</t>
  </si>
  <si>
    <t>8303</t>
  </si>
  <si>
    <t>8304</t>
  </si>
  <si>
    <t>8305</t>
  </si>
  <si>
    <t>8306</t>
  </si>
  <si>
    <t>8308</t>
  </si>
  <si>
    <t>8310</t>
  </si>
  <si>
    <t>8311</t>
  </si>
  <si>
    <t>8314</t>
  </si>
  <si>
    <t>8320</t>
  </si>
  <si>
    <t>8321</t>
  </si>
  <si>
    <t>8322</t>
  </si>
  <si>
    <t>8323</t>
  </si>
  <si>
    <t>8324</t>
  </si>
  <si>
    <t>8325</t>
  </si>
  <si>
    <t>8326</t>
  </si>
  <si>
    <t>8327</t>
  </si>
  <si>
    <t>8347</t>
  </si>
  <si>
    <t>8351</t>
  </si>
  <si>
    <t>8353</t>
  </si>
  <si>
    <t>8354</t>
  </si>
  <si>
    <t>8357</t>
  </si>
  <si>
    <t>8359</t>
  </si>
  <si>
    <t>8362</t>
  </si>
  <si>
    <t>8504</t>
  </si>
  <si>
    <t>8932</t>
  </si>
  <si>
    <t>8950</t>
  </si>
  <si>
    <t>8958</t>
  </si>
  <si>
    <t>9009</t>
  </si>
  <si>
    <t>9010</t>
  </si>
  <si>
    <t>9203</t>
  </si>
  <si>
    <t>9219</t>
  </si>
  <si>
    <t>9243</t>
  </si>
  <si>
    <t>File Location</t>
  </si>
  <si>
    <t>Location</t>
  </si>
  <si>
    <t>Generation</t>
  </si>
  <si>
    <t>#1 5067</t>
  </si>
  <si>
    <t>#2 5090</t>
  </si>
  <si>
    <t>#3 5043</t>
  </si>
  <si>
    <t>#4 5069</t>
  </si>
  <si>
    <t>#7 5054 &amp; 8954</t>
  </si>
  <si>
    <t>Description</t>
  </si>
  <si>
    <t>Location Number</t>
  </si>
  <si>
    <t>Ledger Values</t>
  </si>
  <si>
    <t>5539 Anaverde</t>
  </si>
  <si>
    <t>5599 Helijet</t>
  </si>
  <si>
    <t>5564 Palmdale</t>
  </si>
  <si>
    <t>5518 Little Rock</t>
  </si>
  <si>
    <t>5522 Shuttle</t>
  </si>
  <si>
    <t>5548 Oasis</t>
  </si>
  <si>
    <t>5545 Piute</t>
  </si>
  <si>
    <t>5530 Redman</t>
  </si>
  <si>
    <t>5514 Lancaster</t>
  </si>
  <si>
    <t>5508 Del Sur</t>
  </si>
  <si>
    <t>5511 Goldtown</t>
  </si>
  <si>
    <t>5547 Corum</t>
  </si>
  <si>
    <t>5541 Rosamond</t>
  </si>
  <si>
    <t>5553 Cal Cement</t>
  </si>
  <si>
    <t>5357 Cummings</t>
  </si>
  <si>
    <t>5512 Gorman</t>
  </si>
  <si>
    <t>5358 Monolith</t>
  </si>
  <si>
    <t>5566 Quartz Hill</t>
  </si>
  <si>
    <t>8504 Ritter Ranch</t>
  </si>
  <si>
    <t>1.  Devers-Mirage System</t>
  </si>
  <si>
    <t>2.  East Kern Wind Resource Area and Future Project (Antelope-Bailey System)</t>
  </si>
  <si>
    <t>3.  Current FERC methodology for transformer bank circuit breakers</t>
  </si>
  <si>
    <t>#73 5539 Anaverde</t>
  </si>
  <si>
    <t>#74 5599 Helijet</t>
  </si>
  <si>
    <t>#75 5564 Palmdale</t>
  </si>
  <si>
    <t>#76 5518 Little Rock</t>
  </si>
  <si>
    <t>#77 5522 Shuttle</t>
  </si>
  <si>
    <t>#78 5548 Oasis</t>
  </si>
  <si>
    <t>#79 5545 Piute</t>
  </si>
  <si>
    <t>#80 5530 Redman</t>
  </si>
  <si>
    <t>#81 5514 Lancaster</t>
  </si>
  <si>
    <t>#82 5508 Del Sur</t>
  </si>
  <si>
    <t>#83 5511 Goldtown</t>
  </si>
  <si>
    <t>#84 5547 Corum</t>
  </si>
  <si>
    <t>#85 5541 Rosamond</t>
  </si>
  <si>
    <t>#86 5553 Cal Cement</t>
  </si>
  <si>
    <t>#87 5357 Cummings</t>
  </si>
  <si>
    <t>#90 5512 Gorman</t>
  </si>
  <si>
    <t>#93 5358 Monolith</t>
  </si>
  <si>
    <t xml:space="preserve">2313 Kern River </t>
  </si>
  <si>
    <t>PARDEE-SYLMAR LNES 1&amp;2</t>
  </si>
  <si>
    <t>EAGLE ROCK-SYLMAR LNE</t>
  </si>
  <si>
    <t>PARDEE-VINCENT LINE CONST</t>
  </si>
  <si>
    <t>RIO HONDO-VINCENT LN 2</t>
  </si>
  <si>
    <t>BIG CRK 3-BIG CRK 4</t>
  </si>
  <si>
    <t>BIGCRK-SPRGVL, MGDN-SPRGV</t>
  </si>
  <si>
    <t>BIG CREEK 4-SPRNGVLL-MGDN</t>
  </si>
  <si>
    <t>NORTH BOULDER-MEAD, OTHER</t>
  </si>
  <si>
    <t>MOHAVE-LUGO 500KV</t>
  </si>
  <si>
    <t>LUGO-ELDORADO LN</t>
  </si>
  <si>
    <t>MOHAVE-LUGO 500 KV LN</t>
  </si>
  <si>
    <t>MOHAVE-ELDORADO LN</t>
  </si>
  <si>
    <t>ELDORADO-BORDER 500 KV LN</t>
  </si>
  <si>
    <t>ELDORADO-MEAD LNS 1&amp;2</t>
  </si>
  <si>
    <t>LUGO-VICTORVLL EDSON-DWP</t>
  </si>
  <si>
    <t>MIDWAY-VINCENT LN 3</t>
  </si>
  <si>
    <t>ELLIS-SANTIAGO LNS 1,2</t>
  </si>
  <si>
    <t>BIG CRK 2-BIG CRK 8</t>
  </si>
  <si>
    <t>DEVERS-PALO VERDE</t>
  </si>
  <si>
    <t>DEVERS-VALLEY LNS 1,2</t>
  </si>
  <si>
    <t>SERRANO-VILLA PK LN 1,2,3</t>
  </si>
  <si>
    <t>DEVERS-SN BRDNO 220 KV LN</t>
  </si>
  <si>
    <t>BLYTHE-EAGLE MT 161 KV LN</t>
  </si>
  <si>
    <t>HOOVER-CLWTR 115 KV LN</t>
  </si>
  <si>
    <t>HOOVER-CLWTER 115 KV LN</t>
  </si>
  <si>
    <t>5085 &amp; 5881</t>
  </si>
  <si>
    <t>#22 5085 &amp; 5881</t>
  </si>
  <si>
    <t>5054 &amp; 8954</t>
  </si>
  <si>
    <t>#8 5081</t>
  </si>
  <si>
    <t>#9 5084</t>
  </si>
  <si>
    <t>#10 8063</t>
  </si>
  <si>
    <t>#11 5062</t>
  </si>
  <si>
    <t>#12 5075</t>
  </si>
  <si>
    <t>#13 5011</t>
  </si>
  <si>
    <t>#14 5023</t>
  </si>
  <si>
    <t>5026 &amp; 1095</t>
  </si>
  <si>
    <t>#16 5086</t>
  </si>
  <si>
    <t>5096 &amp; 1094</t>
  </si>
  <si>
    <t>#18 5055</t>
  </si>
  <si>
    <t>#19 5015</t>
  </si>
  <si>
    <t>#20 5071</t>
  </si>
  <si>
    <t>5027 &amp; 1088</t>
  </si>
  <si>
    <t>#23 5024</t>
  </si>
  <si>
    <t>#24 5021</t>
  </si>
  <si>
    <t>#25 5028</t>
  </si>
  <si>
    <t>#26 5074</t>
  </si>
  <si>
    <t>#27 5073</t>
  </si>
  <si>
    <t>#28 5012</t>
  </si>
  <si>
    <t>#29 5056</t>
  </si>
  <si>
    <t>#30 5087</t>
  </si>
  <si>
    <t>#31 5060</t>
  </si>
  <si>
    <t>#32 5013</t>
  </si>
  <si>
    <t>8076 &amp; 1999</t>
  </si>
  <si>
    <t>#34 5053</t>
  </si>
  <si>
    <t>#35 5088</t>
  </si>
  <si>
    <t>#36 5050</t>
  </si>
  <si>
    <t>#37 5083</t>
  </si>
  <si>
    <t>#38 5082</t>
  </si>
  <si>
    <t>#39 5014</t>
  </si>
  <si>
    <t>#40 2211</t>
  </si>
  <si>
    <t>#41 2212</t>
  </si>
  <si>
    <t>#42 2230</t>
  </si>
  <si>
    <t>#43 2236</t>
  </si>
  <si>
    <t>#44 2229</t>
  </si>
  <si>
    <t>#45 5036</t>
  </si>
  <si>
    <t>#46 5031</t>
  </si>
  <si>
    <t>#47 5034</t>
  </si>
  <si>
    <t>#48 5033</t>
  </si>
  <si>
    <t>#49 5035</t>
  </si>
  <si>
    <t>5042 &amp; 8046</t>
  </si>
  <si>
    <t>#51 5044</t>
  </si>
  <si>
    <t>#52 5063</t>
  </si>
  <si>
    <t>#53 5040</t>
  </si>
  <si>
    <t>#54 8048</t>
  </si>
  <si>
    <t>#55 2556</t>
  </si>
  <si>
    <t>#57 8012</t>
  </si>
  <si>
    <t>#58 8016</t>
  </si>
  <si>
    <t>#59 8098</t>
  </si>
  <si>
    <t>#60 8017</t>
  </si>
  <si>
    <t>#61 8099</t>
  </si>
  <si>
    <t>#62 8004</t>
  </si>
  <si>
    <t>#63 8044</t>
  </si>
  <si>
    <t>#64 8036</t>
  </si>
  <si>
    <t>#65 8345</t>
  </si>
  <si>
    <t>#66 8037</t>
  </si>
  <si>
    <t>5041 &amp; 8040</t>
  </si>
  <si>
    <t>5070 &amp; 8034</t>
  </si>
  <si>
    <t>#69 8049</t>
  </si>
  <si>
    <t>#70 5064</t>
  </si>
  <si>
    <t>#71 5025</t>
  </si>
  <si>
    <t>#72 5052</t>
  </si>
  <si>
    <t>#73 5539</t>
  </si>
  <si>
    <t>#74 5599</t>
  </si>
  <si>
    <t>#75 5564</t>
  </si>
  <si>
    <t>#76 5518</t>
  </si>
  <si>
    <t>#77 5522</t>
  </si>
  <si>
    <t>#78 5548</t>
  </si>
  <si>
    <t>#79 5545</t>
  </si>
  <si>
    <t>#80 5530</t>
  </si>
  <si>
    <t>#81 5514</t>
  </si>
  <si>
    <t>#82 5508</t>
  </si>
  <si>
    <t>#83 5511</t>
  </si>
  <si>
    <t>#84 5547</t>
  </si>
  <si>
    <t>#85 5541</t>
  </si>
  <si>
    <t>#86 5553</t>
  </si>
  <si>
    <t>#87 5357</t>
  </si>
  <si>
    <t>#89 2305</t>
  </si>
  <si>
    <t>#90 5512</t>
  </si>
  <si>
    <t>#91 5059</t>
  </si>
  <si>
    <t>#93 5358</t>
  </si>
  <si>
    <t>Plant</t>
  </si>
  <si>
    <t>FERC</t>
  </si>
  <si>
    <t>CPUC</t>
  </si>
  <si>
    <t>Total</t>
  </si>
  <si>
    <t>SOUTHERN CALIFORNIA EDISON COMPANY</t>
  </si>
  <si>
    <t>DESCRIPTION</t>
  </si>
  <si>
    <t>8051-8055</t>
  </si>
  <si>
    <t>Many Transmission Lines</t>
  </si>
  <si>
    <t>Various 220kv Lines</t>
  </si>
  <si>
    <t>Chino-Serrano</t>
  </si>
  <si>
    <t>Alamitos-Mesa-&amp; Various</t>
  </si>
  <si>
    <t>Lighthipe-Hinson-Long Beach</t>
  </si>
  <si>
    <t>Mira Loma, other</t>
  </si>
  <si>
    <t>Vincent-Pardee Line 2</t>
  </si>
  <si>
    <t>Rio Honda-Vincent Line 2</t>
  </si>
  <si>
    <t>Various 66kv Lines</t>
  </si>
  <si>
    <t>Various 55kv Lines</t>
  </si>
  <si>
    <t>Eastern (Transmission Location)</t>
  </si>
  <si>
    <t>Northern (Transmission Location)</t>
  </si>
  <si>
    <t>Various 115kv Lines</t>
  </si>
  <si>
    <t xml:space="preserve">A/C 360
</t>
  </si>
  <si>
    <t>Land &amp;
Land Rights</t>
  </si>
  <si>
    <t>DISTRIBUTION SUBSTATION FACILITIES</t>
  </si>
  <si>
    <t>LOCATION
NUMBER</t>
  </si>
  <si>
    <t>DISTRIBUTION ACCOUNT</t>
  </si>
  <si>
    <t>VARIOUS 66KV LINES</t>
  </si>
  <si>
    <t>E.MAGUNDEN-ANTELOPE 220KV</t>
  </si>
  <si>
    <t>EAGLE ROCK-MESA 220KV LN</t>
  </si>
  <si>
    <t>CENTER MESA&amp;OLINDA 220KV</t>
  </si>
  <si>
    <t>DESERT REGION 115KV LINES</t>
  </si>
  <si>
    <t>MOORPARK-PARDEE 200KV LN</t>
  </si>
  <si>
    <t>=</t>
  </si>
  <si>
    <t>A/C 361</t>
  </si>
  <si>
    <t>A/C 362</t>
  </si>
  <si>
    <t>A/C 360-362</t>
  </si>
  <si>
    <t>Structures &amp;
Improvements</t>
  </si>
  <si>
    <t>Station
Equipment</t>
  </si>
  <si>
    <t>TOTAL</t>
  </si>
  <si>
    <t>Bailey</t>
  </si>
  <si>
    <t>Total HV &amp; LV Gross Plant</t>
  </si>
  <si>
    <t>Transmission Lines:</t>
  </si>
  <si>
    <t>Substations:</t>
  </si>
  <si>
    <t>5298</t>
  </si>
  <si>
    <t>Voltage</t>
  </si>
  <si>
    <t>750KV</t>
  </si>
  <si>
    <t>Total ISO
Gross Plant</t>
  </si>
  <si>
    <t>Land
HV</t>
  </si>
  <si>
    <t>Land
LV</t>
  </si>
  <si>
    <t>Structures
HV</t>
  </si>
  <si>
    <t>Structures
LV</t>
  </si>
  <si>
    <t>Transformers
HV/LV</t>
  </si>
  <si>
    <t>High</t>
  </si>
  <si>
    <t>Low</t>
  </si>
  <si>
    <t>Facility:</t>
  </si>
  <si>
    <t>500 kV Substations:</t>
  </si>
  <si>
    <t>230 kV Substations</t>
  </si>
  <si>
    <t>Location #</t>
  </si>
  <si>
    <t>Mix</t>
  </si>
  <si>
    <t>Southern California Edison Company</t>
  </si>
  <si>
    <t>Summary of ISO Facility Gross Plant</t>
  </si>
  <si>
    <t>Summary of Transmission Facility Gross Plant</t>
  </si>
  <si>
    <t>High/Low Voltage Split</t>
  </si>
  <si>
    <t>($)</t>
  </si>
  <si>
    <t>Total ISO Plant</t>
  </si>
  <si>
    <t>Gross ISO Plant Split into High Voltage, Low Voltage, and Transformers that Straddle HV/LV</t>
  </si>
  <si>
    <t>750 kV T Lines</t>
  </si>
  <si>
    <t>500 kV T Lines</t>
  </si>
  <si>
    <t>230 kV T Lines</t>
  </si>
  <si>
    <t>161 kV T Lines</t>
  </si>
  <si>
    <t>115 kV T Lines</t>
  </si>
  <si>
    <t>Total  Transmission Lines</t>
  </si>
  <si>
    <t xml:space="preserve"> </t>
  </si>
  <si>
    <t>Total Substations</t>
  </si>
  <si>
    <t>Total Lines and Substations</t>
  </si>
  <si>
    <t>Gross Plant Percentage Determined Pursuant to ISO Tariff Section 12</t>
  </si>
  <si>
    <t>Gross Plant that can be
determined HV/LV</t>
  </si>
  <si>
    <t>High
Voltage</t>
  </si>
  <si>
    <t>Low
Voltage</t>
  </si>
  <si>
    <t>Total Determined HV/LV</t>
  </si>
  <si>
    <t>Percentage:</t>
  </si>
  <si>
    <t>Huntington Beach- Ellis GRT (4 Lines)</t>
  </si>
  <si>
    <t>Check</t>
  </si>
  <si>
    <t>A/C 360</t>
  </si>
  <si>
    <t>CSTMR SRVC FAC.</t>
  </si>
  <si>
    <t>Total Structures</t>
  </si>
  <si>
    <t>ISO TRANSMISSION LINES BY</t>
  </si>
  <si>
    <t>OPERATING VOLTAGE / CIRCUIT NAME</t>
  </si>
  <si>
    <t>OPERATING VOLTAGE</t>
  </si>
  <si>
    <t>LOCATION</t>
  </si>
  <si>
    <t>CIRCUIT</t>
  </si>
  <si>
    <t xml:space="preserve">TOTAL ACCT. </t>
  </si>
  <si>
    <t>A C C O U N T    N O.</t>
  </si>
  <si>
    <t>CIRCUIT NAME</t>
  </si>
  <si>
    <t>NO.</t>
  </si>
  <si>
    <t>MILES</t>
  </si>
  <si>
    <t>CIRCUIT MILES</t>
  </si>
  <si>
    <t>354</t>
  </si>
  <si>
    <t>355</t>
  </si>
  <si>
    <t>356</t>
  </si>
  <si>
    <t>357</t>
  </si>
  <si>
    <t>358</t>
  </si>
  <si>
    <t>359</t>
  </si>
  <si>
    <t>1000kV TRANSMISSION LINES</t>
  </si>
  <si>
    <t>CELILO-SYLMAR HV DC - CALIF.</t>
  </si>
  <si>
    <t>CELILO-SYLMAR HV DC - NEVADA</t>
  </si>
  <si>
    <t>TOTAL CELILO-SYLMAR</t>
  </si>
  <si>
    <t>TOTAL 1000kV T/L'S</t>
  </si>
  <si>
    <t>500kV TRANSMISSION LINES</t>
  </si>
  <si>
    <t>DEVERS-PALO VERDE - CALIF.</t>
  </si>
  <si>
    <t>DEVERS-PALO VERDE - ARIZONA</t>
  </si>
  <si>
    <t>TOTAL DEVERS-PALO VERDE</t>
  </si>
  <si>
    <t>DEVERS-VALLEY</t>
  </si>
  <si>
    <t>ELDORADO-LUGO - CALIF.</t>
  </si>
  <si>
    <t>ELDORADO-LUGO - NEVADA</t>
  </si>
  <si>
    <t>TOTAL ELDORADO-LUGO</t>
  </si>
  <si>
    <t>ELDORADO-MCCULLOUGH (SCE PORTION)</t>
  </si>
  <si>
    <t>N/A</t>
  </si>
  <si>
    <t>ELDORADO-MOENKOPI  (SCE PORTION)</t>
  </si>
  <si>
    <t>ELDORADO-MOHAVE</t>
  </si>
  <si>
    <t>LAUGHLIN-MOHAVE  (SCE PORTION)</t>
  </si>
  <si>
    <t>LUGO-MOHAVE - NEVADA</t>
  </si>
  <si>
    <t>LUGO-MOHAVE - CALIF.</t>
  </si>
  <si>
    <t>TOTAL LUGO-MOHAVE</t>
  </si>
  <si>
    <t>LUGO-MIRA LOMA No.2</t>
  </si>
  <si>
    <t>LUGO-MIRA LOMA No. 3</t>
  </si>
  <si>
    <t>LUGO-VICTORVILLE  (SCE PORTION)</t>
  </si>
  <si>
    <t>LUGO-VINCENT No. 1</t>
  </si>
  <si>
    <t>LUGO-VINCENT No. 2</t>
  </si>
  <si>
    <t>MIDWAY-VINCENT No. 1</t>
  </si>
  <si>
    <t>MIDWAY-VINCENT No. 2</t>
  </si>
  <si>
    <t>MIDWAY-VINCENT No. 3  (SCE PORTION)</t>
  </si>
  <si>
    <t>SERRANO-VALLEY</t>
  </si>
  <si>
    <t>TOTAL 500kV T/L'S</t>
  </si>
  <si>
    <t>220kV TRANSMISSION LINES</t>
  </si>
  <si>
    <t>ANTELOPE WINDHUB ($56M)</t>
  </si>
  <si>
    <t>ANTELOPE-PARDEE ($132M)</t>
  </si>
  <si>
    <t>ALAMITOS-BARRE No. 2</t>
  </si>
  <si>
    <t>ALAMITOS-CENTER</t>
  </si>
  <si>
    <t>ALAMITOS-LIGHTHIPE</t>
  </si>
  <si>
    <t>ANTELOPE-MAGUNDEN No. 1</t>
  </si>
  <si>
    <t>ANTELOPE-MAGUNDEN No. 2</t>
  </si>
  <si>
    <t>BAILEY-PARDEE</t>
  </si>
  <si>
    <t>BAILEY-PASTORIA</t>
  </si>
  <si>
    <t>BARRE-ELLIS</t>
  </si>
  <si>
    <t>BARRE-LEWIS</t>
  </si>
  <si>
    <t>BARRE-VILLA PARK</t>
  </si>
  <si>
    <t>BIG CREEK 1-BIG CREEK 2</t>
  </si>
  <si>
    <t>BIG CREEK 1-RECTOR</t>
  </si>
  <si>
    <t>BIG CREEK 2-BIG CREEK 3</t>
  </si>
  <si>
    <t>BIG CREEK 2-BIG CREEK 8</t>
  </si>
  <si>
    <t>BIG CREEK 3-BIG CREEK 4</t>
  </si>
  <si>
    <t>BIG CREEK 3-BIG CREEK 8</t>
  </si>
  <si>
    <t>BIG CREEK 3-RECTOR</t>
  </si>
  <si>
    <t>BIG CREEK 3-SPRINGVILLE</t>
  </si>
  <si>
    <t>BIG CREEK 4-SPRINGVILLE</t>
  </si>
  <si>
    <t>CENTER-DEL AMO</t>
  </si>
  <si>
    <t>CENTER-MESA</t>
  </si>
  <si>
    <t>CENTER-OLINDA</t>
  </si>
  <si>
    <t>CHEVMAIN-EL NIDO</t>
  </si>
  <si>
    <t>OH</t>
  </si>
  <si>
    <t>UG</t>
  </si>
  <si>
    <t>TOTAL CHEVMAIN-EL NIDO</t>
  </si>
  <si>
    <t>CHEVMAIN-EL SEGUNDO</t>
  </si>
  <si>
    <t>CHINO-MIRA LOMA No.1</t>
  </si>
  <si>
    <t>CHINO-MIRA LOMA No. 2</t>
  </si>
  <si>
    <t>CHINO-MIRA LOMA No. 3</t>
  </si>
  <si>
    <t>CHINO-SERRANO</t>
  </si>
  <si>
    <t>CHINO-VIEJO</t>
  </si>
  <si>
    <t>CIMA-ELDORADO-PISGAH No. 1 - CALIF.</t>
  </si>
  <si>
    <t>CIMA-ELDORADO-PISGAH No. 1 - NEVADA</t>
  </si>
  <si>
    <t>TOTAL CIMA-ELDORADO-PISGAH No.1</t>
  </si>
  <si>
    <t>CIMA-ELDORADO-PISGAH No. 2 - CALIF.</t>
  </si>
  <si>
    <t>CIMA-ELDORADO-PISGAH No. 2 - NEVADA</t>
  </si>
  <si>
    <t>TOTAL CIMA-ELDORADO-PISGAH No.2</t>
  </si>
  <si>
    <t>COACHELLA VALLEY-DEVERS</t>
  </si>
  <si>
    <t>DEL AMO-ELLIS</t>
  </si>
  <si>
    <t>DEL AMO-HINSON</t>
  </si>
  <si>
    <t>TOTAL DEL AMO-HINSON</t>
  </si>
  <si>
    <t>DEL AMO-LAGUNA BELL</t>
  </si>
  <si>
    <t>TOTAL DEL AMO-LAGUNA BELL</t>
  </si>
  <si>
    <t>DEVERS-MIRAGE</t>
  </si>
  <si>
    <t>DEVERS-VISTA No. 1</t>
  </si>
  <si>
    <t>TOTAL DEVERS-VISTA No. 1</t>
  </si>
  <si>
    <t>DEVERS-VISTA No. 2</t>
  </si>
  <si>
    <t>TOTAL DEVERS-VISTA No. 2</t>
  </si>
  <si>
    <t>EAGLE ROCK-MESA</t>
  </si>
  <si>
    <t>TOTAL EAGLE ROCK-MESA</t>
  </si>
  <si>
    <t>EAGLE ROCK-PARDEE</t>
  </si>
  <si>
    <t>TOTAL EAGLE ROCK-PARDEE</t>
  </si>
  <si>
    <t>EAGLE ROCK-SYLMAR</t>
  </si>
  <si>
    <t>TOTAL EAGLE ROCK-SYLMAR</t>
  </si>
  <si>
    <t>EL NIDO-EL SEGUNDO</t>
  </si>
  <si>
    <t>TOTAL EL NIDO-EL SEGUNDO</t>
  </si>
  <si>
    <t>EL NIDO-LA CIENEGA</t>
  </si>
  <si>
    <t>EL NIDO-LA FRESA No. 3</t>
  </si>
  <si>
    <t>EL NIDO-LA FRESA No. 4</t>
  </si>
  <si>
    <t>ELDORADO-MEAD No. 1</t>
  </si>
  <si>
    <t xml:space="preserve">ELDORADO-MEAD No. 2 </t>
  </si>
  <si>
    <t>ELDORADO-MERCHANT</t>
  </si>
  <si>
    <t>ELLIS-JOHANNA</t>
  </si>
  <si>
    <t>ELLIS-SANTIAGO</t>
  </si>
  <si>
    <t>ETIWANDA-MIRA LOMA</t>
  </si>
  <si>
    <t>ETIWANDA-PADUA</t>
  </si>
  <si>
    <t>ETIWANDA-SAN BERNARDINO</t>
  </si>
  <si>
    <t>TOTAL ETIWANDA-SAN BERNARDINO</t>
  </si>
  <si>
    <t>ETIWANDA-VISTA</t>
  </si>
  <si>
    <t>GOLETA-SANTA CLARA No. 1</t>
  </si>
  <si>
    <t>GOLETA-SANTA CLARA No. 2</t>
  </si>
  <si>
    <t>GOODRICH-GOULD</t>
  </si>
  <si>
    <t>GOODRICH-LAGUNA BELL</t>
  </si>
  <si>
    <t>GOULD-SYLMAR</t>
  </si>
  <si>
    <t>HARBORGEN-HINSON</t>
  </si>
  <si>
    <t>HARBORGEN-LONG BEACH</t>
  </si>
  <si>
    <t>HINSON-LA FRESA</t>
  </si>
  <si>
    <t>TOTAL HINSON-LA FRESA</t>
  </si>
  <si>
    <t>HINSON-LIGHTHIPE</t>
  </si>
  <si>
    <t>HOOVER-MEAD No. 2  (No. Boulder-Mead)</t>
  </si>
  <si>
    <t>HOOVER-MEAD No. 3  (So. Boulder-Mead)</t>
  </si>
  <si>
    <t>JOHANNA-SANTIAGO</t>
  </si>
  <si>
    <t>JULIAN HINDS-MIRAGE</t>
  </si>
  <si>
    <t>KRAMER-LUGO No. 1</t>
  </si>
  <si>
    <t>KRAMER-LUGO No. 2</t>
  </si>
  <si>
    <t>LA CIENEGA-LA FRESA</t>
  </si>
  <si>
    <t>LA FRESA-LAGUNA BELL</t>
  </si>
  <si>
    <t>TOTAL LA FRESA-LAGUNA BELL</t>
  </si>
  <si>
    <t>LA FRESA-REDONDO No. 1</t>
  </si>
  <si>
    <t>LA FRESA-REDONDO No. 2</t>
  </si>
  <si>
    <t>LAGUNA BELL-RIO HONDO</t>
  </si>
  <si>
    <t>LAGUNA BELL-VELASCO</t>
  </si>
  <si>
    <t>LEWIS-SERRANO No.1</t>
  </si>
  <si>
    <t>LEWIS-SERRANO No. 2</t>
  </si>
  <si>
    <t>LEWIS-VILLA PARK</t>
  </si>
  <si>
    <t>LIGHTHIPE-LONG BEACH</t>
  </si>
  <si>
    <t>LIGHTHIPE-MESA</t>
  </si>
  <si>
    <t>LIGHTHIPE-REDONDO</t>
  </si>
  <si>
    <t>LUGO-PISGAH No. 1</t>
  </si>
  <si>
    <t>LUGO-PISGAH No. 2</t>
  </si>
  <si>
    <t>LUGO-VICTOR No. 1</t>
  </si>
  <si>
    <t>LUGO-VICTOR No. 2</t>
  </si>
  <si>
    <t>MAGUNDEN-PASTORIA No. 1</t>
  </si>
  <si>
    <t>MAGUNDEN-PASTORIA No. 2</t>
  </si>
  <si>
    <t>MAGUNDEN-PASTORIA No. 3</t>
  </si>
  <si>
    <t>MAGUNDEN-SPRINGVILLE No. 1</t>
  </si>
  <si>
    <t>MAGUNDEN-SPRINGVILLE No. 2</t>
  </si>
  <si>
    <t>MAGUNDEN-VESTAL No. 1</t>
  </si>
  <si>
    <t>MAGUNDEN-VESTAL No. 2</t>
  </si>
  <si>
    <t>MESA-REDONDO</t>
  </si>
  <si>
    <t>TOTAL MESA-REDONDO</t>
  </si>
  <si>
    <t>MESA-RIO HONDO</t>
  </si>
  <si>
    <t>MESA-VINCENT</t>
  </si>
  <si>
    <t>TOTAL MESA-VINCENT</t>
  </si>
  <si>
    <t>MESA-WALNUT</t>
  </si>
  <si>
    <t>MIRA LOMA-OLINDA</t>
  </si>
  <si>
    <t>MIRA LOMA-PADUA</t>
  </si>
  <si>
    <t>TOTAL MIRA LOMA-PADUA</t>
  </si>
  <si>
    <t>MIRA LOMA-VISTA No. 1</t>
  </si>
  <si>
    <t>MIRA LOMA-VISTA No. 2</t>
  </si>
  <si>
    <t>MIRA LOMA-WALNUT</t>
  </si>
  <si>
    <t>MIRAGE-RAMON (SCE PORTION)</t>
  </si>
  <si>
    <t>MOORPARK-PARDEE No. 1</t>
  </si>
  <si>
    <t>MOORPARK-PARDEE No. 2</t>
  </si>
  <si>
    <t>MOORPARK-PARDEE No. 3</t>
  </si>
  <si>
    <t>MOORPARK-SANTA CLARA No. 1</t>
  </si>
  <si>
    <t>MOORPARK-SANTA CLARA No. 2</t>
  </si>
  <si>
    <t>OLINDA-WALNUT</t>
  </si>
  <si>
    <t>PARDEE-PASTORIA</t>
  </si>
  <si>
    <t>PARDEE-PASTORIA-WARNE</t>
  </si>
  <si>
    <t>*</t>
  </si>
  <si>
    <t>PARDEE-SANTA CLARA</t>
  </si>
  <si>
    <t>PARDEE-SYLMAR No. 1</t>
  </si>
  <si>
    <t>TOTAL PARDEE-SYLMAR No. 1</t>
  </si>
  <si>
    <t>PARDEE-SYLMAR No. 2</t>
  </si>
  <si>
    <t>TOTAL PARDEE-SYLMAR No. 2</t>
  </si>
  <si>
    <t>PARDEE-VINCENT</t>
  </si>
  <si>
    <t>TOTAL PARDEE-VINCENT</t>
  </si>
  <si>
    <t>RECTOR-VESTAL No. 1</t>
  </si>
  <si>
    <t>RECTOR-VESTAL No. 2</t>
  </si>
  <si>
    <t>RIO HONDO-VINCENT No. 1</t>
  </si>
  <si>
    <t>RIO HONDO-VINCENT No. 2</t>
  </si>
  <si>
    <t>TOTAL RIO HONDO-VINCENT No. 2</t>
  </si>
  <si>
    <t>SAN BERNARDINO-VISTA</t>
  </si>
  <si>
    <t>TOTAL SAN BERNARDINO-VISTA</t>
  </si>
  <si>
    <t>SAN ONOFRE-SANTIAGO No. 1</t>
  </si>
  <si>
    <t>SAN ONOFRE-SANTIAGO No. 2</t>
  </si>
  <si>
    <t>SAN ONOFRE-SERRANO</t>
  </si>
  <si>
    <t>SAN ONOFRE-VIEJO</t>
  </si>
  <si>
    <t>SANTA CLARA-VINCENT</t>
  </si>
  <si>
    <t>TOTAL SANTA CLARA-VINCENT</t>
  </si>
  <si>
    <t>SERRANO-VILLA PARK No. 1</t>
  </si>
  <si>
    <t>High Voltage Substations 
(750 kV, 500kV, 220kV)</t>
  </si>
  <si>
    <t>Low Voltage Substations 
(Less Than 220kV)</t>
  </si>
  <si>
    <t>End of Year 2011 Facilities</t>
  </si>
  <si>
    <t>Total Plant
FERC Form 1</t>
  </si>
  <si>
    <t>Land (Substation and Land)</t>
  </si>
  <si>
    <t>Total Transmission</t>
  </si>
  <si>
    <t>Total Distribution</t>
  </si>
  <si>
    <t>ISO Transmission and Distribution Facility</t>
  </si>
  <si>
    <t>ISO Study Assumptions</t>
  </si>
  <si>
    <t>Straddle</t>
  </si>
  <si>
    <t>High / Low / Straddle Voltage</t>
  </si>
  <si>
    <t>KELLOGG SUB</t>
  </si>
  <si>
    <t>TOTAL LUGO-MIRA LOMA</t>
  </si>
  <si>
    <t>MIRA LOMA-SERRANO No. 1 &amp; 2</t>
  </si>
  <si>
    <t>VALLEY SUB</t>
  </si>
  <si>
    <t>Built as 500kV energized as 220</t>
  </si>
  <si>
    <t>ALAMITOS-BARRE NO. 1</t>
  </si>
  <si>
    <t>ANTELOPE-VINCENT No. 1&amp;2 ($88M)</t>
  </si>
  <si>
    <t>ANTELOPE-MESA (DISCONNECTED)</t>
  </si>
  <si>
    <t>DEVERS-SAN BERNARDINO No.1</t>
  </si>
  <si>
    <t>DEVERS-EL CASCO</t>
  </si>
  <si>
    <t>TOTAL DEVERS-EL CASCO</t>
  </si>
  <si>
    <t>EL CASCO-SAN BERNARDINO</t>
  </si>
  <si>
    <t>TOTAL EL CASCO-SAN BERNARDINO</t>
  </si>
  <si>
    <t>MIRA LOMA-RANCHO VISTA No.1 &amp; 2</t>
  </si>
  <si>
    <t>PADUA-RANCHO VISTA No.1 &amp; 2</t>
  </si>
  <si>
    <t>PARDEE-VINCENT (IDLE)</t>
  </si>
  <si>
    <t>SAN BERNARDINO-VISTA (IDLE)</t>
  </si>
  <si>
    <t>TOTAL KRAMER-VICTOR</t>
  </si>
  <si>
    <t>66kV TRANSMISSION LINES</t>
  </si>
  <si>
    <t>ANTELOPE-NEENACH</t>
  </si>
  <si>
    <t>TOTAL 66kV T/L'S</t>
  </si>
  <si>
    <t>DEVERS-EISENHOWER (IDLE)</t>
  </si>
  <si>
    <t>TOTAL DEVERS-EISENHOWER</t>
  </si>
  <si>
    <t>GARNET-SANTA ROSA (IDLE)</t>
  </si>
  <si>
    <t>TOTAL MIRAGE-TAMARISK</t>
  </si>
  <si>
    <t>TOTAL SANTA ROSA-TAMARISK</t>
  </si>
  <si>
    <t>MIRAGE-SANTA ROSA-TAMARISK</t>
  </si>
  <si>
    <t>TOTAL MIRAGE-SANTA ROSA-TAMARISK</t>
  </si>
  <si>
    <t>TOTAL DEVERS-GARNET-VENWIND</t>
  </si>
  <si>
    <t>MIRAGE-SANTA ROSA</t>
  </si>
  <si>
    <t>MIRAGE-CAPWIND-DEVERS (TAMARISK TAP NOT UPDATED)</t>
  </si>
  <si>
    <t>MIRAGE-CONCHO</t>
  </si>
  <si>
    <t>ACTON-PALMDALE-SHUTTLE</t>
  </si>
  <si>
    <t>ACTON-RITTER RANCH</t>
  </si>
  <si>
    <t>ANAVERDE-RITTER RANCH</t>
  </si>
  <si>
    <t>ANTELOPE-RITTER RANCH No.1</t>
  </si>
  <si>
    <t>TOTAL ANTELOPE-RITTER RANCH No.1 and ANAVERDE-RITTER RANCH</t>
  </si>
  <si>
    <t>TOTAL ANTELOPE-ANAVERDE-HELIJET</t>
  </si>
  <si>
    <t>ANTELOPE-LANCASTER-OASIS</t>
  </si>
  <si>
    <t>ANTELOPE-QUARTZ HILL No.2</t>
  </si>
  <si>
    <t>TOTAL ANTELOPE-QUARTZ HILL No.2</t>
  </si>
  <si>
    <t>ANTELOPE-RITTER RANCH No.2</t>
  </si>
  <si>
    <t>TOTAL ANTELOPE-RITTER RANCH No.2</t>
  </si>
  <si>
    <t>CORRECTION-CUMMINGS--KERN RIVER No. 1</t>
  </si>
  <si>
    <t>TOTAL CORRECTION-CUMMINGS--KERN RIVER No. 1</t>
  </si>
  <si>
    <t>ANTELOPE-QUARTZ HILL No.1</t>
  </si>
  <si>
    <t>TOTAL ANTELOPE-QUARTZ HILL No.1</t>
  </si>
  <si>
    <t>OASIS-PALMDALE-QUARTZ HILL</t>
  </si>
  <si>
    <t>ANTELOPE-QUARTZ HILL-SHUTTLE</t>
  </si>
  <si>
    <t>TOTAL ANTELOPE-QUARTZ HILL-SHUTTLE</t>
  </si>
  <si>
    <t>AS OF DECEMBER 31, 2011</t>
  </si>
  <si>
    <t>Refer Substation Study</t>
  </si>
  <si>
    <t>ANTELOPE-MESA 220 KV LN</t>
  </si>
  <si>
    <t xml:space="preserve">DWP-EDSN CELILO-SYLMR LN </t>
  </si>
  <si>
    <t xml:space="preserve">MIDWAY-VINCENT LINES 1&amp;2 </t>
  </si>
  <si>
    <t xml:space="preserve">LUGO-VINCENT LNES 1&amp;2    </t>
  </si>
  <si>
    <t xml:space="preserve">MOHAVE-LUGO 500KV        </t>
  </si>
  <si>
    <t xml:space="preserve">LUGO-ELDORADO LN         </t>
  </si>
  <si>
    <t xml:space="preserve">LUGO-MIRA LOMA 2&amp;3       </t>
  </si>
  <si>
    <t xml:space="preserve">MOHAVE-LUGO 500 KV LN    </t>
  </si>
  <si>
    <t xml:space="preserve">MOHAVE-ELDORADO LN       </t>
  </si>
  <si>
    <t xml:space="preserve">MIRA LOMA-SERRANO LN     </t>
  </si>
  <si>
    <t xml:space="preserve">LUGO-VICTORVLL EDSON-DWP </t>
  </si>
  <si>
    <t xml:space="preserve">MIDWAY-VINCENT LN 3      </t>
  </si>
  <si>
    <t xml:space="preserve">DEVERS-PALO VERDE        </t>
  </si>
  <si>
    <t xml:space="preserve">DEVERS-VALLEY LNS 1,2    </t>
  </si>
  <si>
    <t xml:space="preserve">SERRANO-VALLEY LN        </t>
  </si>
  <si>
    <t xml:space="preserve">MIRA LOMA SUB            </t>
  </si>
  <si>
    <t xml:space="preserve">VALLEY-500 KV            </t>
  </si>
  <si>
    <t xml:space="preserve">SERRANO SUB              </t>
  </si>
  <si>
    <t xml:space="preserve">EL DORADO SUB(NEVADA)    </t>
  </si>
  <si>
    <t xml:space="preserve">GOULD SUB                </t>
  </si>
  <si>
    <t xml:space="preserve">SANTA CLARA SUB          </t>
  </si>
  <si>
    <t>Mirage-Santa Rosa Line OH</t>
  </si>
  <si>
    <t>included in totals above</t>
  </si>
  <si>
    <t>UG * Kramer Victor Line</t>
  </si>
  <si>
    <t xml:space="preserve">UG 33kV </t>
  </si>
  <si>
    <t>Antelope Ritter Ranch No.2 OH</t>
  </si>
  <si>
    <t>Antelope Ritter Ranch No.2 UG</t>
  </si>
  <si>
    <t>Antelope Quartz Hill No.2 OH</t>
  </si>
  <si>
    <t>Antelope Quartz Hill No.2 UG</t>
  </si>
  <si>
    <t>EOY 2010</t>
  </si>
  <si>
    <t>Northern T/S Region</t>
  </si>
  <si>
    <t>ELLIS-HNGTN BCH#1-4 220KV</t>
  </si>
  <si>
    <t>MOUNTAINVIEW POWER-COMMON</t>
  </si>
  <si>
    <t>Refer to Substation Study</t>
  </si>
  <si>
    <t>MOHAVE GENERATING STATION</t>
  </si>
  <si>
    <t xml:space="preserve">FOUR CORNERS(NEW MEX)    </t>
  </si>
  <si>
    <t xml:space="preserve">EDISON ITAC              </t>
  </si>
  <si>
    <t xml:space="preserve">SAN ONOFRE-COMMON 1,2,3  </t>
  </si>
  <si>
    <t xml:space="preserve">SAN ONOFRE-COMMON 2,3    </t>
  </si>
  <si>
    <t xml:space="preserve">SAN ONOFRE-UNIT 1        </t>
  </si>
  <si>
    <t xml:space="preserve">SAN ONOFRE-UNIT 2        </t>
  </si>
  <si>
    <t xml:space="preserve">SAN ONOFRE-UNIT 3        </t>
  </si>
  <si>
    <t xml:space="preserve">SONGS 2,3 SPARE PARTS    </t>
  </si>
  <si>
    <t>SONGS COMMON 2 &amp; 3- (INC)</t>
  </si>
  <si>
    <t xml:space="preserve">PALOVERDE-COMMON 1,2,3   </t>
  </si>
  <si>
    <t xml:space="preserve">PALOVERDE-SWITCHYARD     </t>
  </si>
  <si>
    <t>SAN BRDNO-220 KV SWTCHYRD</t>
  </si>
  <si>
    <t>MAMMOTH POOL LAKE-FP 2085</t>
  </si>
  <si>
    <t xml:space="preserve">BIG CREEK CANYON         </t>
  </si>
  <si>
    <t xml:space="preserve">BIG CREEK NO.1           </t>
  </si>
  <si>
    <t xml:space="preserve">BIG CREEK NO.2           </t>
  </si>
  <si>
    <t xml:space="preserve">BIG CREEK NO.8           </t>
  </si>
  <si>
    <t xml:space="preserve">BIG CREEK NO.3           </t>
  </si>
  <si>
    <t xml:space="preserve">BIG CREEK NO.2A          </t>
  </si>
  <si>
    <t xml:space="preserve">BIG CREEK NO.4           </t>
  </si>
  <si>
    <t xml:space="preserve">PORTAL POWER PLANT       </t>
  </si>
  <si>
    <t xml:space="preserve">MAMMOTH POOL             </t>
  </si>
  <si>
    <t xml:space="preserve">EASTWOOD POWER STATION   </t>
  </si>
  <si>
    <t xml:space="preserve">HYDRO PRODUCTION         </t>
  </si>
  <si>
    <t>SNTA ANA RV&amp;MILL CRK CNYN</t>
  </si>
  <si>
    <t>LYTLE CRK&amp;SN ANTONIO CNYN</t>
  </si>
  <si>
    <t xml:space="preserve">KERN RIVER CANYON        </t>
  </si>
  <si>
    <t xml:space="preserve">KAWEAH RIVER CANYON      </t>
  </si>
  <si>
    <t xml:space="preserve">SAN GORGONIO CANYON      </t>
  </si>
  <si>
    <t xml:space="preserve">KERN RIVER NO.1          </t>
  </si>
  <si>
    <t xml:space="preserve">BOREL                    </t>
  </si>
  <si>
    <t xml:space="preserve">SANTA ANA NO.1           </t>
  </si>
  <si>
    <t xml:space="preserve">SANTA ANA NO.3           </t>
  </si>
  <si>
    <t xml:space="preserve">MILL CREEK NO.1          </t>
  </si>
  <si>
    <t xml:space="preserve">MILL CREEK NO.2&amp;3        </t>
  </si>
  <si>
    <t xml:space="preserve">KAWEAH NO.1              </t>
  </si>
  <si>
    <t xml:space="preserve">KAWEAH NO.2              </t>
  </si>
  <si>
    <t xml:space="preserve">KAWEAH NO.3              </t>
  </si>
  <si>
    <t xml:space="preserve">LOWER TULE RIVER         </t>
  </si>
  <si>
    <t xml:space="preserve">KERN RIVER NO.3          </t>
  </si>
  <si>
    <t xml:space="preserve">ONTARIO NO.1             </t>
  </si>
  <si>
    <t xml:space="preserve">EASTERN HYDRO REGION     </t>
  </si>
  <si>
    <t xml:space="preserve">BISHOP CREEK CANYON      </t>
  </si>
  <si>
    <t xml:space="preserve">MONO BASIN               </t>
  </si>
  <si>
    <t xml:space="preserve">LUNDY                    </t>
  </si>
  <si>
    <t xml:space="preserve">POOLE                    </t>
  </si>
  <si>
    <t xml:space="preserve">RUSH CREEK               </t>
  </si>
  <si>
    <t xml:space="preserve">BISHOP CREEK NO.2        </t>
  </si>
  <si>
    <t xml:space="preserve">BISHOP CREEK NO.3        </t>
  </si>
  <si>
    <t xml:space="preserve">BISHOP CREEK NO.4        </t>
  </si>
  <si>
    <t xml:space="preserve">BISHOP CREEK NO.5        </t>
  </si>
  <si>
    <t xml:space="preserve">BISHOP CREEK NO.6        </t>
  </si>
  <si>
    <t>FISH LAKE VALLEY METERING</t>
  </si>
  <si>
    <t xml:space="preserve">CONTROL STATION          </t>
  </si>
  <si>
    <t xml:space="preserve">CASA DIABLO              </t>
  </si>
  <si>
    <t xml:space="preserve">LEE VINING               </t>
  </si>
  <si>
    <t xml:space="preserve">INYO                     </t>
  </si>
  <si>
    <t xml:space="preserve">SHERWIN                  </t>
  </si>
  <si>
    <t xml:space="preserve">ZACK                     </t>
  </si>
  <si>
    <t xml:space="preserve">MT. TOM                  </t>
  </si>
  <si>
    <t>DAF INDAL 500KW WND TURBN</t>
  </si>
  <si>
    <t xml:space="preserve">SUBSTN DIV               </t>
  </si>
  <si>
    <t xml:space="preserve">METRO GOM MAINT          </t>
  </si>
  <si>
    <t xml:space="preserve">EAGLE ROCK SUB           </t>
  </si>
  <si>
    <t xml:space="preserve">MESA SUB                 </t>
  </si>
  <si>
    <t xml:space="preserve">RIO HONDO SUB            </t>
  </si>
  <si>
    <t xml:space="preserve">WALNUT SUB               </t>
  </si>
  <si>
    <t xml:space="preserve">LEBEC SUBSTATION         </t>
  </si>
  <si>
    <t xml:space="preserve">COTTONWIND SUB           </t>
  </si>
  <si>
    <t xml:space="preserve">HARBORGEN SUB            </t>
  </si>
  <si>
    <t xml:space="preserve">LA FRESA SUB             </t>
  </si>
  <si>
    <t xml:space="preserve">ARCOGEN SUB              </t>
  </si>
  <si>
    <t xml:space="preserve">EL NIDO SUB              </t>
  </si>
  <si>
    <t xml:space="preserve">LA CIENEGA SUB           </t>
  </si>
  <si>
    <t xml:space="preserve">ALAMITOS SWITCHRACK SUB  </t>
  </si>
  <si>
    <t>EL SEGUNDO SWITCHRACK SUB</t>
  </si>
  <si>
    <t xml:space="preserve">LG BCH SWITCHRACK SUB    </t>
  </si>
  <si>
    <t xml:space="preserve">REDONDO SWITCHRACK SUB   </t>
  </si>
  <si>
    <t xml:space="preserve">MAGUNDEN SUB             </t>
  </si>
  <si>
    <t xml:space="preserve">MIDWAY SUB               </t>
  </si>
  <si>
    <t xml:space="preserve">RECTOR SUB               </t>
  </si>
  <si>
    <t xml:space="preserve">SPRINGVILLE SUB          </t>
  </si>
  <si>
    <t xml:space="preserve">VESTAL SUB               </t>
  </si>
  <si>
    <t xml:space="preserve">PASTORIA SUB             </t>
  </si>
  <si>
    <t xml:space="preserve">NO. T/S REG OFC/VALENCIA </t>
  </si>
  <si>
    <t xml:space="preserve">EAGLE MT. SUB            </t>
  </si>
  <si>
    <t xml:space="preserve">INYOKERN SUB             </t>
  </si>
  <si>
    <t xml:space="preserve">KRAMER SUB               </t>
  </si>
  <si>
    <t xml:space="preserve">CIMA SUB                 </t>
  </si>
  <si>
    <t xml:space="preserve">CLWTR SWITCHRACKS 1,2    </t>
  </si>
  <si>
    <t xml:space="preserve">MOHAVE SWITCHRACK        </t>
  </si>
  <si>
    <t xml:space="preserve">CLWTR SWITCHRACK 3,4 SUB </t>
  </si>
  <si>
    <t xml:space="preserve">RANCHO VISTA SUB         </t>
  </si>
  <si>
    <t xml:space="preserve">MANDALAY SWITCHRACK SUB  </t>
  </si>
  <si>
    <t>ORMOND BCH SWITCHRACK SUB</t>
  </si>
  <si>
    <t xml:space="preserve">PARDEE SUB               </t>
  </si>
  <si>
    <t xml:space="preserve">SAUGUS SUB               </t>
  </si>
  <si>
    <t xml:space="preserve">ANTELOPE SUB             </t>
  </si>
  <si>
    <t xml:space="preserve">VINCENT SUB              </t>
  </si>
  <si>
    <t xml:space="preserve">GOLETA SUB               </t>
  </si>
  <si>
    <t xml:space="preserve">MOORPARK SUB             </t>
  </si>
  <si>
    <t xml:space="preserve">SYLMAR SUB               </t>
  </si>
  <si>
    <t xml:space="preserve">BAILEY SUB               </t>
  </si>
  <si>
    <t xml:space="preserve">PADUA SUB                </t>
  </si>
  <si>
    <t xml:space="preserve">LUGO SUB                 </t>
  </si>
  <si>
    <t xml:space="preserve">CHINO SUB                </t>
  </si>
  <si>
    <t xml:space="preserve">JULIAN HINDS SUB         </t>
  </si>
  <si>
    <t xml:space="preserve">VISTA SUB                </t>
  </si>
  <si>
    <t xml:space="preserve">PISGAH SUB               </t>
  </si>
  <si>
    <t xml:space="preserve">GENE SUB                 </t>
  </si>
  <si>
    <t xml:space="preserve">DEVERS SUB               </t>
  </si>
  <si>
    <t xml:space="preserve">CAMINO SUB               </t>
  </si>
  <si>
    <t xml:space="preserve">HINSON SUB               </t>
  </si>
  <si>
    <t xml:space="preserve">VELASCO SUB              </t>
  </si>
  <si>
    <t xml:space="preserve">LIGHTHIPE SUB            </t>
  </si>
  <si>
    <t xml:space="preserve">LAGUNA BELL SUB          </t>
  </si>
  <si>
    <t xml:space="preserve">DEL AMO SUB              </t>
  </si>
  <si>
    <t xml:space="preserve">HUNTINGTON BCH SWITCHRCK </t>
  </si>
  <si>
    <t xml:space="preserve">WIND HUB SUB             </t>
  </si>
  <si>
    <t xml:space="preserve">BARRE SUB                </t>
  </si>
  <si>
    <t xml:space="preserve">VILLA PARK SUB           </t>
  </si>
  <si>
    <t xml:space="preserve">CENTER SUB               </t>
  </si>
  <si>
    <t xml:space="preserve">JOHANNA SUB              </t>
  </si>
  <si>
    <t xml:space="preserve">ELLIS SUB                </t>
  </si>
  <si>
    <t xml:space="preserve">OLINDA SUB               </t>
  </si>
  <si>
    <t xml:space="preserve">SANTIAGO SUB             </t>
  </si>
  <si>
    <t xml:space="preserve">LEWIS  SUB               </t>
  </si>
  <si>
    <t xml:space="preserve">MEAD SUB                 </t>
  </si>
  <si>
    <t xml:space="preserve">MOENKOPI SUB             </t>
  </si>
  <si>
    <t xml:space="preserve">WEST SERIES CAPACITORS   </t>
  </si>
  <si>
    <t xml:space="preserve">EAST SERIES CAPACITORS 1 </t>
  </si>
  <si>
    <t xml:space="preserve">TRITON SUB               </t>
  </si>
  <si>
    <t xml:space="preserve">ETIWANDA SWITCHRACK SUB  </t>
  </si>
  <si>
    <t>PALO VERDE SWITCHRACK SUB</t>
  </si>
  <si>
    <t xml:space="preserve">METRO REGION             </t>
  </si>
  <si>
    <t xml:space="preserve">ALHAMBRA SUB             </t>
  </si>
  <si>
    <t xml:space="preserve">BANDINI SUB              </t>
  </si>
  <si>
    <t xml:space="preserve">BICKNELL SUB             </t>
  </si>
  <si>
    <t xml:space="preserve">WABASH (NEW) SUB         </t>
  </si>
  <si>
    <t xml:space="preserve">EATON SUB                </t>
  </si>
  <si>
    <t xml:space="preserve">RUSH SUB                 </t>
  </si>
  <si>
    <t xml:space="preserve">MONROVIA SUB             </t>
  </si>
  <si>
    <t xml:space="preserve">ROSEMEAD SUB             </t>
  </si>
  <si>
    <t xml:space="preserve">DUARTE SUB               </t>
  </si>
  <si>
    <t xml:space="preserve">ARROYO SUB               </t>
  </si>
  <si>
    <t xml:space="preserve">AMADOR SUB               </t>
  </si>
  <si>
    <t xml:space="preserve">FAIR OAKS SUB            </t>
  </si>
  <si>
    <t xml:space="preserve">JPL SUB                  </t>
  </si>
  <si>
    <t xml:space="preserve">MAYFLOWER SUB            </t>
  </si>
  <si>
    <t xml:space="preserve">TEMPLE SUB               </t>
  </si>
  <si>
    <t xml:space="preserve">KIRKWALL SUBSTATION      </t>
  </si>
  <si>
    <t xml:space="preserve">CITRUS SUB               </t>
  </si>
  <si>
    <t xml:space="preserve">CORTEZ SUB               </t>
  </si>
  <si>
    <t xml:space="preserve">RAILROAD SUB             </t>
  </si>
  <si>
    <t>ALHAMBRA DIST SUB TRG FAC</t>
  </si>
  <si>
    <t xml:space="preserve">LENNOX SUB               </t>
  </si>
  <si>
    <t xml:space="preserve">WINDSOR HILLS SUB        </t>
  </si>
  <si>
    <t xml:space="preserve">YUKON SUB                </t>
  </si>
  <si>
    <t xml:space="preserve">STANHILL SUB             </t>
  </si>
  <si>
    <t xml:space="preserve">STRATHMORE SUB           </t>
  </si>
  <si>
    <t xml:space="preserve">VISALIA SUB              </t>
  </si>
  <si>
    <t xml:space="preserve">LINE CREEK SUB           </t>
  </si>
  <si>
    <t xml:space="preserve">CUMMINGS SUB             </t>
  </si>
  <si>
    <t xml:space="preserve">MONOLITH SUB             </t>
  </si>
  <si>
    <t xml:space="preserve">ACTON SUB                </t>
  </si>
  <si>
    <t xml:space="preserve">RIVERWAY SUB             </t>
  </si>
  <si>
    <t xml:space="preserve">DEL SUR SUB              </t>
  </si>
  <si>
    <t xml:space="preserve">FILLMORE SUB             </t>
  </si>
  <si>
    <t xml:space="preserve">GOLDTOWN SUB             </t>
  </si>
  <si>
    <t xml:space="preserve">LANCASTER SUB            </t>
  </si>
  <si>
    <t xml:space="preserve">LITTLE ROCK SUB          </t>
  </si>
  <si>
    <t xml:space="preserve">SHUTTLE SUB               </t>
  </si>
  <si>
    <t xml:space="preserve">REDMAN WUB               </t>
  </si>
  <si>
    <t xml:space="preserve">ROSAMOND SUB             </t>
  </si>
  <si>
    <t xml:space="preserve">PIUTE SUB                </t>
  </si>
  <si>
    <t xml:space="preserve">ELIZABETH LAKE SUB       </t>
  </si>
  <si>
    <t xml:space="preserve">OASIS SUB                </t>
  </si>
  <si>
    <t xml:space="preserve">CAL CEMENT SUB           </t>
  </si>
  <si>
    <t xml:space="preserve">NEENACH SUB              </t>
  </si>
  <si>
    <t xml:space="preserve">NEWBURY SUB              </t>
  </si>
  <si>
    <t xml:space="preserve">PALMDALE SUB             </t>
  </si>
  <si>
    <t xml:space="preserve">QUARTZ HILL SUB          </t>
  </si>
  <si>
    <t xml:space="preserve">HELIJET SUB              </t>
  </si>
  <si>
    <t xml:space="preserve">RANDALL SUB              </t>
  </si>
  <si>
    <t xml:space="preserve">ORANGE PRODUCTS SUB      </t>
  </si>
  <si>
    <t xml:space="preserve">INLAND CONTAINER SUB     </t>
  </si>
  <si>
    <t xml:space="preserve">GANESHA SUB              </t>
  </si>
  <si>
    <t xml:space="preserve">SAN ANTONIO SUB          </t>
  </si>
  <si>
    <t xml:space="preserve">TIPPECANOE SUB           </t>
  </si>
  <si>
    <t xml:space="preserve">COLTON CEMENT SUB        </t>
  </si>
  <si>
    <t xml:space="preserve">AMERON SUB               </t>
  </si>
  <si>
    <t xml:space="preserve">WIMBLEDON SUB            </t>
  </si>
  <si>
    <t xml:space="preserve">ATHENS SUBSTATION        </t>
  </si>
  <si>
    <t xml:space="preserve">NAPLES SUBSTATION        </t>
  </si>
  <si>
    <t xml:space="preserve">WATSON SUBSTATION        </t>
  </si>
  <si>
    <t xml:space="preserve">ERIC SUBSTATION          </t>
  </si>
  <si>
    <t xml:space="preserve">SOUTH GATE SUBSTATION    </t>
  </si>
  <si>
    <t xml:space="preserve">BOVINE SUBSTATION        </t>
  </si>
  <si>
    <t xml:space="preserve">MOVIE SUBSTATION         </t>
  </si>
  <si>
    <t xml:space="preserve">BAYSIDE SUBSTATION       </t>
  </si>
  <si>
    <t xml:space="preserve">CARMENITA SUBSTATION     </t>
  </si>
  <si>
    <t xml:space="preserve">PARKWOOD SUBSTATION      </t>
  </si>
  <si>
    <t xml:space="preserve">WAVE SUBSTATION          </t>
  </si>
  <si>
    <t xml:space="preserve">LA HABRA SUBSTATION      </t>
  </si>
  <si>
    <t xml:space="preserve">OCEANVIEW SUBSTATION     </t>
  </si>
  <si>
    <t xml:space="preserve">ALTON SUBSTATION         </t>
  </si>
  <si>
    <t xml:space="preserve">SULLIVAN SUBSTATION      </t>
  </si>
  <si>
    <t xml:space="preserve">SHAWNEE SUBSTATION       </t>
  </si>
  <si>
    <t xml:space="preserve">TUSTIN SUBSTATION        </t>
  </si>
  <si>
    <t xml:space="preserve">TELEGRAPH SUB            </t>
  </si>
  <si>
    <t xml:space="preserve">NIGUEL SUBSTATION        </t>
  </si>
  <si>
    <t xml:space="preserve">LAS LOMAS SUB            </t>
  </si>
  <si>
    <t xml:space="preserve">CATALINA SERVICE CENTER  </t>
  </si>
  <si>
    <t>BARSTOW NO RGN-SAN BERDOO</t>
  </si>
  <si>
    <t>VENTURA COUNTY</t>
  </si>
  <si>
    <t xml:space="preserve">ROADWAY(CEP)             </t>
  </si>
  <si>
    <t xml:space="preserve">PAUBA(CEP) SUB           </t>
  </si>
  <si>
    <t xml:space="preserve">THORNHILL(CEP) SUB       </t>
  </si>
  <si>
    <t xml:space="preserve">STADLER(CEP) SUB         </t>
  </si>
  <si>
    <t xml:space="preserve">EL CASCO SUBSTATION      </t>
  </si>
  <si>
    <t xml:space="preserve">PAN AERO (CEP) SUB       </t>
  </si>
  <si>
    <t xml:space="preserve">PHELAN(CEP) SUB          </t>
  </si>
  <si>
    <t xml:space="preserve">BANWIND SUBSTATION       </t>
  </si>
  <si>
    <t xml:space="preserve">MIRAGE(CEP) SUB          </t>
  </si>
  <si>
    <t xml:space="preserve">APPLE VALLEY(CEP) SUB    </t>
  </si>
  <si>
    <t xml:space="preserve">BUNKER(CEP) SUB          </t>
  </si>
  <si>
    <t xml:space="preserve">FARREL(CEP) SUB          </t>
  </si>
  <si>
    <t xml:space="preserve">CONCHO(CEP) SUB          </t>
  </si>
  <si>
    <t xml:space="preserve">AULD(CEP) SUB            </t>
  </si>
  <si>
    <t xml:space="preserve">MAXWELL(CEP) SUB         </t>
  </si>
  <si>
    <t xml:space="preserve">SAVAGE(CEP) SUB          </t>
  </si>
  <si>
    <t xml:space="preserve">PEPPER(CEP) SUB          </t>
  </si>
  <si>
    <t xml:space="preserve">YUCCA(CEP) SUB           </t>
  </si>
  <si>
    <t xml:space="preserve">BLACK MOUNTAIN(CEP) SUB  </t>
  </si>
  <si>
    <t xml:space="preserve">ALESSANDRO(CEP) SUB      </t>
  </si>
  <si>
    <t xml:space="preserve">BAKER(CEP) SUB           </t>
  </si>
  <si>
    <t xml:space="preserve">BANNING(CEP) SUB         </t>
  </si>
  <si>
    <t xml:space="preserve">COTTONWOOD(CEP) SUB      </t>
  </si>
  <si>
    <t xml:space="preserve">EDWARDS(CEP) SUB         </t>
  </si>
  <si>
    <t xml:space="preserve">HI DESERT(CEP) SUB       </t>
  </si>
  <si>
    <t xml:space="preserve">MOUNTAIN PASS(CEP) SUB   </t>
  </si>
  <si>
    <t xml:space="preserve">RANDSBURG(CEP) SUB       </t>
  </si>
  <si>
    <t xml:space="preserve">ROCKET TEST(CEP) SUB     </t>
  </si>
  <si>
    <t xml:space="preserve">SEARLES(CEP) SUB         </t>
  </si>
  <si>
    <t xml:space="preserve">VALLEY(CEP) SUB          </t>
  </si>
  <si>
    <t xml:space="preserve">ZANJA(CEP) SUB           </t>
  </si>
  <si>
    <t xml:space="preserve">SANTA ROSA(CEP) SUB      </t>
  </si>
  <si>
    <t xml:space="preserve">TORTILLA(CEP) SUB        </t>
  </si>
  <si>
    <t xml:space="preserve">NELSON(CEP) SUB          </t>
  </si>
  <si>
    <t xml:space="preserve">HOMART(CEP) SUB          </t>
  </si>
  <si>
    <t xml:space="preserve">INYOKERN(CEP) SUB        </t>
  </si>
  <si>
    <t xml:space="preserve">HOLGATE(CEP) SUB         </t>
  </si>
  <si>
    <t xml:space="preserve">CALECTRIC SUB (CEP)      </t>
  </si>
  <si>
    <t xml:space="preserve">GARNET SUB               </t>
  </si>
  <si>
    <t xml:space="preserve">IID TIE SUB              </t>
  </si>
  <si>
    <t xml:space="preserve">KRAMER-115 KV PORTION    </t>
  </si>
  <si>
    <t xml:space="preserve">TIEFORT SUB              </t>
  </si>
  <si>
    <t xml:space="preserve">USBR BLYTHE SUB          </t>
  </si>
  <si>
    <t xml:space="preserve">VICTOR SUB               </t>
  </si>
  <si>
    <t xml:space="preserve">SAN ONOFRE SWITCHRACK U1 </t>
  </si>
  <si>
    <t xml:space="preserve">SAN ONOFRE SWITCHRACK U2 </t>
  </si>
  <si>
    <t xml:space="preserve">SAN ONOFRE SWITCHRACK U3 </t>
  </si>
  <si>
    <t xml:space="preserve">SAN ONOFRE SWITCHRACK    </t>
  </si>
  <si>
    <t xml:space="preserve">SN ONOFRE SWTHRK-100%SCE </t>
  </si>
  <si>
    <t xml:space="preserve">PUREWATER SUB            </t>
  </si>
  <si>
    <t xml:space="preserve">SEAWIND T/S              </t>
  </si>
  <si>
    <t xml:space="preserve">CHEVMAIN                 </t>
  </si>
  <si>
    <t xml:space="preserve">TIFFANYWIND SUB          </t>
  </si>
  <si>
    <t xml:space="preserve">NUSED GALE               </t>
  </si>
  <si>
    <t xml:space="preserve">CARODEAN           </t>
  </si>
  <si>
    <t xml:space="preserve">IVYGLEN SUB              </t>
  </si>
  <si>
    <t>COOL WATER SWITCHRACK 1,2</t>
  </si>
  <si>
    <t xml:space="preserve">HIGHGROVE SWITCHRCK      </t>
  </si>
  <si>
    <t xml:space="preserve">SN BRDNO SWTCHRCK        </t>
  </si>
  <si>
    <t xml:space="preserve">AQUEDUCT SUB             </t>
  </si>
  <si>
    <t xml:space="preserve">BADLANDS SUB             </t>
  </si>
  <si>
    <t xml:space="preserve">MENTONE SUB              </t>
  </si>
  <si>
    <t xml:space="preserve">CAJALCO SUB              </t>
  </si>
  <si>
    <t xml:space="preserve">HESPERIA SUB             </t>
  </si>
  <si>
    <t xml:space="preserve">SKYLARK SUB              </t>
  </si>
  <si>
    <t xml:space="preserve">MAYBERRY SUB             </t>
  </si>
  <si>
    <t xml:space="preserve">PERMANENTE SUB           </t>
  </si>
  <si>
    <t xml:space="preserve">ELCENTRO TELEMTERING     </t>
  </si>
  <si>
    <t xml:space="preserve">NILAND TELEMETERING      </t>
  </si>
  <si>
    <t xml:space="preserve">SHANDIN SUB              </t>
  </si>
  <si>
    <t xml:space="preserve">ARROWHEAD SUB            </t>
  </si>
  <si>
    <t xml:space="preserve">STETSON SUB              </t>
  </si>
  <si>
    <t xml:space="preserve">DUNN SIDING SUB          </t>
  </si>
  <si>
    <t xml:space="preserve">TAMARISK SUB             </t>
  </si>
  <si>
    <t xml:space="preserve">BARSTOW SUB              </t>
  </si>
  <si>
    <t xml:space="preserve">BLYTHE SUB               </t>
  </si>
  <si>
    <t xml:space="preserve">BRYMAN SUB               </t>
  </si>
  <si>
    <t xml:space="preserve">MILITARY SUB           </t>
  </si>
  <si>
    <t xml:space="preserve">PALM SPRINGS SUB         </t>
  </si>
  <si>
    <t xml:space="preserve">DOWNS SUB                </t>
  </si>
  <si>
    <t xml:space="preserve">GLEN IVY SUB             </t>
  </si>
  <si>
    <t xml:space="preserve">HELENDALE SUB            </t>
  </si>
  <si>
    <t xml:space="preserve">HINKLEY SUB              </t>
  </si>
  <si>
    <t xml:space="preserve">IDYLLWILD SUB            </t>
  </si>
  <si>
    <t xml:space="preserve">MINNEOLA SUB             </t>
  </si>
  <si>
    <t xml:space="preserve">MORENO SUB               </t>
  </si>
  <si>
    <t xml:space="preserve">MURRIETA 2 SUB           </t>
  </si>
  <si>
    <t xml:space="preserve">MURRIETA SUB             </t>
  </si>
  <si>
    <t xml:space="preserve">SOUTHCAP SUB.            </t>
  </si>
  <si>
    <t xml:space="preserve">MUSCOY SUB               </t>
  </si>
  <si>
    <t xml:space="preserve">BELDING SUB              </t>
  </si>
  <si>
    <t xml:space="preserve">ORDWAY SUB               </t>
  </si>
  <si>
    <t xml:space="preserve">PALM CANYON SUB          </t>
  </si>
  <si>
    <t xml:space="preserve">LUCERNE SUB              </t>
  </si>
  <si>
    <t xml:space="preserve">RANCHO SUB               </t>
  </si>
  <si>
    <t xml:space="preserve">RIALTO SUB               </t>
  </si>
  <si>
    <t xml:space="preserve">RIDGECREST SUB           </t>
  </si>
  <si>
    <t xml:space="preserve">SAN JACINTO SUB          </t>
  </si>
  <si>
    <t xml:space="preserve">SUN CITY SUB             </t>
  </si>
  <si>
    <t xml:space="preserve">TEMESCAL SUB             </t>
  </si>
  <si>
    <t xml:space="preserve">WILDE SUB                </t>
  </si>
  <si>
    <t xml:space="preserve">TENAJA SUBSTATION        </t>
  </si>
  <si>
    <t xml:space="preserve">GALE SUB                 </t>
  </si>
  <si>
    <t xml:space="preserve">FORGE SUB                </t>
  </si>
  <si>
    <t xml:space="preserve">BUCKWIND                 </t>
  </si>
  <si>
    <t xml:space="preserve">CAPWIHND                 </t>
  </si>
  <si>
    <t xml:space="preserve">RENWIND                  </t>
  </si>
  <si>
    <t xml:space="preserve">SANWIND                  </t>
  </si>
  <si>
    <t xml:space="preserve">TRANSWIND                </t>
  </si>
  <si>
    <t xml:space="preserve">VENWIND                  </t>
  </si>
  <si>
    <t xml:space="preserve">ALTWIND                  </t>
  </si>
  <si>
    <t xml:space="preserve">TERAWIND                 </t>
  </si>
  <si>
    <t xml:space="preserve">INDIGO SUBSTATION        </t>
  </si>
  <si>
    <t xml:space="preserve">CALGEN                   </t>
  </si>
  <si>
    <t xml:space="preserve">MCGEN                    </t>
  </si>
  <si>
    <t xml:space="preserve">SEGS II                  </t>
  </si>
  <si>
    <t xml:space="preserve">SEGS III                 </t>
  </si>
  <si>
    <t xml:space="preserve">SEGS IV                  </t>
  </si>
  <si>
    <t xml:space="preserve">SEGS V                   </t>
  </si>
  <si>
    <t xml:space="preserve">SEGS VI                  </t>
  </si>
  <si>
    <t xml:space="preserve">SEGS VII                 </t>
  </si>
  <si>
    <t xml:space="preserve">SEGS VIII                </t>
  </si>
  <si>
    <t xml:space="preserve">SEGS IX                  </t>
  </si>
  <si>
    <t xml:space="preserve">SOPORT                   </t>
  </si>
  <si>
    <t xml:space="preserve">NEWCOMB                  </t>
  </si>
  <si>
    <t xml:space="preserve">ELSINORE                 </t>
  </si>
  <si>
    <t xml:space="preserve">SOUTH BASE SUB           </t>
  </si>
  <si>
    <t xml:space="preserve">INDIAN WELLS SUB         </t>
  </si>
  <si>
    <t xml:space="preserve">PECHANGA SUB             </t>
  </si>
  <si>
    <t xml:space="preserve">TANKER SUBSTATION    </t>
  </si>
  <si>
    <t xml:space="preserve">PLUESS SUBSTATION        </t>
  </si>
  <si>
    <t xml:space="preserve">AFG SUBSTATION           </t>
  </si>
  <si>
    <t xml:space="preserve">RECTIFIER SUB            </t>
  </si>
  <si>
    <t xml:space="preserve">MOUNTWIND SUBSTATION     </t>
  </si>
  <si>
    <t xml:space="preserve">COSO SUB                 </t>
  </si>
  <si>
    <t xml:space="preserve">MOVAL SUBSTATION         </t>
  </si>
  <si>
    <t xml:space="preserve">RITTER SUB               </t>
  </si>
  <si>
    <t xml:space="preserve">PHARMACY SUBSTATION      </t>
  </si>
  <si>
    <t xml:space="preserve">PLASTER SUBSTATION       </t>
  </si>
  <si>
    <t xml:space="preserve">ONEIL SUBSTATION         </t>
  </si>
  <si>
    <t xml:space="preserve">MIDWAY-PAC INTERTIE      </t>
  </si>
  <si>
    <t xml:space="preserve">PARDEE-PAC INTERTIE      </t>
  </si>
  <si>
    <t xml:space="preserve">VINCENT-PAC INTERTIE     </t>
  </si>
  <si>
    <t xml:space="preserve">CONSTR FIELD FORCES      </t>
  </si>
  <si>
    <t xml:space="preserve">B&amp;A-T/S 3RD FLOOR-GO3    </t>
  </si>
  <si>
    <t>CHINO OFC BLDG (FACILITY)</t>
  </si>
  <si>
    <t xml:space="preserve">TRANS/SUB SUPPORT SERV   </t>
  </si>
  <si>
    <t xml:space="preserve">FUELS                    </t>
  </si>
  <si>
    <t xml:space="preserve">RP&amp;AS,LND&amp;ESMNT REQUIS   </t>
  </si>
  <si>
    <t xml:space="preserve">CONTROL SYS SEC-ALHAMBRA </t>
  </si>
  <si>
    <t xml:space="preserve">PLANT ACCTG-MISC. LEDGER </t>
  </si>
  <si>
    <t>Internal Order</t>
  </si>
  <si>
    <t>L ORDER</t>
  </si>
  <si>
    <t>66 kV T Lines</t>
  </si>
  <si>
    <t>55 kV T Lines</t>
  </si>
  <si>
    <t>#109 8006</t>
  </si>
  <si>
    <t>Total Distribution Substations</t>
  </si>
  <si>
    <t>4045</t>
  </si>
  <si>
    <t>4046</t>
  </si>
  <si>
    <t>4059</t>
  </si>
  <si>
    <t>4070</t>
  </si>
  <si>
    <t>4102</t>
  </si>
  <si>
    <t>4104</t>
  </si>
  <si>
    <t>4106</t>
  </si>
  <si>
    <t>4111</t>
  </si>
  <si>
    <t>4113</t>
  </si>
  <si>
    <t>4121</t>
  </si>
  <si>
    <t>4124</t>
  </si>
  <si>
    <t>4127</t>
  </si>
  <si>
    <t>4129</t>
  </si>
  <si>
    <t>4130</t>
  </si>
  <si>
    <t>4132</t>
  </si>
  <si>
    <t>4133</t>
  </si>
  <si>
    <t>4135</t>
  </si>
  <si>
    <t>4136</t>
  </si>
  <si>
    <t>4137</t>
  </si>
  <si>
    <t>4139</t>
  </si>
  <si>
    <t>4140</t>
  </si>
  <si>
    <t>4141</t>
  </si>
  <si>
    <t>4142</t>
  </si>
  <si>
    <t>4143</t>
  </si>
  <si>
    <t>4144</t>
  </si>
  <si>
    <t>4148</t>
  </si>
  <si>
    <t>4149</t>
  </si>
  <si>
    <t>4153</t>
  </si>
  <si>
    <t>4154</t>
  </si>
  <si>
    <t>4155</t>
  </si>
  <si>
    <t>4156</t>
  </si>
  <si>
    <t>4158</t>
  </si>
  <si>
    <t>4166</t>
  </si>
  <si>
    <t>4168</t>
  </si>
  <si>
    <t>4185</t>
  </si>
  <si>
    <t>4186</t>
  </si>
  <si>
    <t>4187</t>
  </si>
  <si>
    <t>4189</t>
  </si>
  <si>
    <t>4207</t>
  </si>
  <si>
    <t>4314</t>
  </si>
  <si>
    <t>4319</t>
  </si>
  <si>
    <t>4414</t>
  </si>
  <si>
    <t>4419</t>
  </si>
  <si>
    <t>4518</t>
  </si>
  <si>
    <t>4570</t>
  </si>
  <si>
    <t>4605</t>
  </si>
  <si>
    <t>4625</t>
  </si>
  <si>
    <t>4730</t>
  </si>
  <si>
    <t>4735</t>
  </si>
  <si>
    <t>4756</t>
  </si>
  <si>
    <t>4759</t>
  </si>
  <si>
    <t>4781</t>
  </si>
  <si>
    <t>4782</t>
  </si>
  <si>
    <t>5079</t>
  </si>
  <si>
    <t>5095</t>
  </si>
  <si>
    <t>5902</t>
  </si>
  <si>
    <t>8006</t>
  </si>
  <si>
    <t>8064</t>
  </si>
  <si>
    <t>8270</t>
  </si>
  <si>
    <t>8361</t>
  </si>
  <si>
    <t>1250</t>
  </si>
  <si>
    <t>4805</t>
  </si>
  <si>
    <t>7056</t>
  </si>
  <si>
    <t>9024</t>
  </si>
  <si>
    <t>Trans Line</t>
  </si>
  <si>
    <t xml:space="preserve">The following assumptions have been made in completing this analysis.  </t>
  </si>
  <si>
    <t>FOUR CORNERS(NEW MEX)</t>
  </si>
  <si>
    <t>EDISON ITAC</t>
  </si>
  <si>
    <t>Misc</t>
  </si>
  <si>
    <t>SAN ONOFRE-COMMON 1,2,3</t>
  </si>
  <si>
    <t>SAN ONOFRE-COMMON 2,3</t>
  </si>
  <si>
    <t>SAN ONOFRE-UNIT 1</t>
  </si>
  <si>
    <t>SAN ONOFRE-UNIT 2</t>
  </si>
  <si>
    <t>SAN ONOFRE-UNIT 3</t>
  </si>
  <si>
    <t>SONGS 2,3 SPARE PARTS</t>
  </si>
  <si>
    <t>PALO VERDE-UNIT 2</t>
  </si>
  <si>
    <t>PALO VERDE-UNIT 3</t>
  </si>
  <si>
    <t>PALOVERDE-COMMON 1,2,3</t>
  </si>
  <si>
    <t>BIG CREEK CANYON</t>
  </si>
  <si>
    <t>BIG CREEK NO.1</t>
  </si>
  <si>
    <t>BIG CREEK NO.2</t>
  </si>
  <si>
    <t>BIG CREEK NO.8</t>
  </si>
  <si>
    <t>BIG CREEK NO.3</t>
  </si>
  <si>
    <t>BIG CREEK NO.2A</t>
  </si>
  <si>
    <t>BIG CREEK NO.4</t>
  </si>
  <si>
    <t>PORTAL POWER PLANT</t>
  </si>
  <si>
    <t>MAMMOTH POOL</t>
  </si>
  <si>
    <t>EASTWOOD POWER STATION</t>
  </si>
  <si>
    <t>HYDRO PRODUCTION</t>
  </si>
  <si>
    <t>KERN RIVER CANYON</t>
  </si>
  <si>
    <t>KAWEAH RIVER CANYON</t>
  </si>
  <si>
    <t>SAN GORGONIO CANYON</t>
  </si>
  <si>
    <t>KERN RIVER NO.1</t>
  </si>
  <si>
    <t>BOREL</t>
  </si>
  <si>
    <t>SANTA ANA NO.1</t>
  </si>
  <si>
    <t>SANTA ANA NO.3</t>
  </si>
  <si>
    <t>MILL CREEK NO.1</t>
  </si>
  <si>
    <t>MILL CREEK NO.2&amp;3</t>
  </si>
  <si>
    <t>KAWEAH NO.1</t>
  </si>
  <si>
    <t>KAWEAH NO.2</t>
  </si>
  <si>
    <t>KAWEAH NO.3</t>
  </si>
  <si>
    <t>LOWER TULE RIVER</t>
  </si>
  <si>
    <t>KERN RIVER NO.3</t>
  </si>
  <si>
    <t>ONTARIO NO.1</t>
  </si>
  <si>
    <t>EASTERN HYDRO REGION</t>
  </si>
  <si>
    <t>BISHOP CREEK CANYON</t>
  </si>
  <si>
    <t>MONO BASIN</t>
  </si>
  <si>
    <t>POOLE</t>
  </si>
  <si>
    <t>RUSH CREEK</t>
  </si>
  <si>
    <t>BISHOP CREEK NO.2</t>
  </si>
  <si>
    <t>BISHOP CREEK NO.3</t>
  </si>
  <si>
    <t>BISHOP CREEK NO.4</t>
  </si>
  <si>
    <t>BISHOP CREEK NO.5</t>
  </si>
  <si>
    <t>BISHOP CREEK NO.6</t>
  </si>
  <si>
    <t>CONTROL STATION</t>
  </si>
  <si>
    <t>CASA DIABLO</t>
  </si>
  <si>
    <t>LEE VINING</t>
  </si>
  <si>
    <t>INYO</t>
  </si>
  <si>
    <t>SHERWIN</t>
  </si>
  <si>
    <t>ZACK</t>
  </si>
  <si>
    <t>MT. TOM</t>
  </si>
  <si>
    <t>MIDWAY-VINCENT LINES 1&amp;2</t>
  </si>
  <si>
    <t>DWP-EDSN CELILO-SYLMR LN</t>
  </si>
  <si>
    <t>MANY TRANSMISSION LINES</t>
  </si>
  <si>
    <t>33 AND 66 KV LINES</t>
  </si>
  <si>
    <t>ANTELOPE/MESA LINE, OTHER</t>
  </si>
  <si>
    <t>CHINO-SERRANO/SN ONFRE LN</t>
  </si>
  <si>
    <t>ALAMITOS-MESA LN, OTHERS</t>
  </si>
  <si>
    <t>HINSON-LIGHTHIPE 1&amp;2</t>
  </si>
  <si>
    <t>HINSON-LAFRESA, OTHERS</t>
  </si>
  <si>
    <t>ELDRDO-CIMA-PISGAH LN1,2</t>
  </si>
  <si>
    <t>MRA LMA-VLL PK LNS, OTHR</t>
  </si>
  <si>
    <t>CENTER-MESA LN, OTHERS</t>
  </si>
  <si>
    <t>ALAMITOS-CENTER, OTHERS</t>
  </si>
  <si>
    <t>LUGO-VINCENT LNES 1&amp;2</t>
  </si>
  <si>
    <t>GOLETA-SNTA CLARA, OTHERS</t>
  </si>
  <si>
    <t>LUGO-MIRA LOMA 2&amp;3</t>
  </si>
  <si>
    <t>VINCENT-PARDEE LN 2</t>
  </si>
  <si>
    <t>BIG CRK 1-RECTOR, OTHER</t>
  </si>
  <si>
    <t>SERRANO-VALLEY LN</t>
  </si>
  <si>
    <t>MESA-REDONDO 220KV LN</t>
  </si>
  <si>
    <t>EASTERN T/S REG</t>
  </si>
  <si>
    <t>Transmission Line</t>
  </si>
  <si>
    <t>CORONA-JEFFERSON 66 KV LN</t>
  </si>
  <si>
    <t>115 KV LNS, ESTN T/S REG</t>
  </si>
  <si>
    <t>METRO GOM MAINT</t>
  </si>
  <si>
    <t>EAGLE ROCK SUB</t>
  </si>
  <si>
    <t>MESA SUB</t>
  </si>
  <si>
    <t>RIO HONDO SUB</t>
  </si>
  <si>
    <t>WALNUT SUB</t>
  </si>
  <si>
    <t>GOULD SUB</t>
  </si>
  <si>
    <t>LEBEC SUBSTATION</t>
  </si>
  <si>
    <t>HARBORGEN SUB</t>
  </si>
  <si>
    <t>LA FRESA SUB</t>
  </si>
  <si>
    <t>ARCOGEN SUB</t>
  </si>
  <si>
    <t>EL NIDO SUB</t>
  </si>
  <si>
    <t>LA CIENEGA SUB</t>
  </si>
  <si>
    <t>ALAMITOS SWITCHRACK SUB</t>
  </si>
  <si>
    <t>LG BCH SWITCHRACK SUB</t>
  </si>
  <si>
    <t>REDONDO SWITCHRACK SUB</t>
  </si>
  <si>
    <t>MAGUNDEN SUB</t>
  </si>
  <si>
    <t>MIDWAY SUB</t>
  </si>
  <si>
    <t>RECTOR SUB</t>
  </si>
  <si>
    <t>SPRINGVILLE SUB</t>
  </si>
  <si>
    <t>VESTAL SUB</t>
  </si>
  <si>
    <t>PASTORIA SUB</t>
  </si>
  <si>
    <t>EAGLE MT. SUB</t>
  </si>
  <si>
    <t>CIMA SUB</t>
  </si>
  <si>
    <t>CLWTR SWITCHRACKS 1,2</t>
  </si>
  <si>
    <t>MOHAVE SWITCHRACK</t>
  </si>
  <si>
    <t>CLWTR SWITCHRACK 3,4 SUB</t>
  </si>
  <si>
    <t>RANCHO VISTA SUB</t>
  </si>
  <si>
    <t>MANDALAY SWITCHRACK SUB</t>
  </si>
  <si>
    <t>PARDEE SUB</t>
  </si>
  <si>
    <t>SAUGUS SUB</t>
  </si>
  <si>
    <t>ANTELOPE SUB</t>
  </si>
  <si>
    <t>SANTA CLARA SUB</t>
  </si>
  <si>
    <t>GOLETA SUB</t>
  </si>
  <si>
    <t>MOORPARK SUB</t>
  </si>
  <si>
    <t>SYLMAR SUB</t>
  </si>
  <si>
    <t>BAILEY SUB</t>
  </si>
  <si>
    <t>PADUA SUB</t>
  </si>
  <si>
    <t>LUGO SUB</t>
  </si>
  <si>
    <t>CHINO SUB</t>
  </si>
  <si>
    <t>JULIAN HINDS SUB</t>
  </si>
  <si>
    <t>VISTA SUB</t>
  </si>
  <si>
    <t>PISGAH SUB</t>
  </si>
  <si>
    <t>GENE SUB</t>
  </si>
  <si>
    <t>DEVERS SUB</t>
  </si>
  <si>
    <t>CAMINO SUB</t>
  </si>
  <si>
    <t>MIRA LOMA SUB</t>
  </si>
  <si>
    <t>HINSON SUB</t>
  </si>
  <si>
    <t>VELASCO SUB</t>
  </si>
  <si>
    <t>LIGHTHIPE SUB</t>
  </si>
  <si>
    <t>LAGUNA BELL SUB</t>
  </si>
  <si>
    <t>DEL AMO SUB</t>
  </si>
  <si>
    <t>HUNTINGTON BCH SWITCHRCK</t>
  </si>
  <si>
    <t>WIND HUB SUB</t>
  </si>
  <si>
    <t>BARRE SUB</t>
  </si>
  <si>
    <t>VILLA PARK SUB</t>
  </si>
  <si>
    <t>CENTER SUB</t>
  </si>
  <si>
    <t>JOHANNA SUB</t>
  </si>
  <si>
    <t>ELLIS SUB</t>
  </si>
  <si>
    <t>OLINDA SUB</t>
  </si>
  <si>
    <t>SANTIAGO SUB</t>
  </si>
  <si>
    <t>LEWIS  SUB</t>
  </si>
  <si>
    <t>EL DORADO SUB(NEVADA)</t>
  </si>
  <si>
    <t>MEAD SUB</t>
  </si>
  <si>
    <t>MOENKOPI SUB</t>
  </si>
  <si>
    <t>WEST SERIES CAPACITORS</t>
  </si>
  <si>
    <t>EAST SERIES CAPACITORS 1</t>
  </si>
  <si>
    <t>TRITON SUB</t>
  </si>
  <si>
    <t>ETIWANDA SWITCHRACK SUB</t>
  </si>
  <si>
    <t>ALHAMBRA SUB</t>
  </si>
  <si>
    <t>BANDINI SUB</t>
  </si>
  <si>
    <t>BICKNELL SUB</t>
  </si>
  <si>
    <t>WABASH (NEW) SUB</t>
  </si>
  <si>
    <t>EATON SUB</t>
  </si>
  <si>
    <t>RUSH SUB</t>
  </si>
  <si>
    <t>MONROVIA SUB</t>
  </si>
  <si>
    <t>ROSEMEAD SUB</t>
  </si>
  <si>
    <t>DUARTE SUB</t>
  </si>
  <si>
    <t>ARROYO SUB</t>
  </si>
  <si>
    <t>AMADOR SUB</t>
  </si>
  <si>
    <t>FAIR OAKS SUB</t>
  </si>
  <si>
    <t>JPL SUB</t>
  </si>
  <si>
    <t>MAYFLOWER SUB</t>
  </si>
  <si>
    <t>TEMPLE SUB</t>
  </si>
  <si>
    <t>KIRKWALL SUBSTATION</t>
  </si>
  <si>
    <t>CITRUS SUB</t>
  </si>
  <si>
    <t>CORTEZ SUB</t>
  </si>
  <si>
    <t>RAILROAD SUB</t>
  </si>
  <si>
    <t>LENNOX SUB</t>
  </si>
  <si>
    <t>WINDSOR HILLS SUB</t>
  </si>
  <si>
    <t>YUKON SUB</t>
  </si>
  <si>
    <t>STRATHMORE SUB</t>
  </si>
  <si>
    <t>VISALIA SUB</t>
  </si>
  <si>
    <t>LINE CREEK SUB</t>
  </si>
  <si>
    <t>CUMMINGS SUB</t>
  </si>
  <si>
    <t>MONOLITH SUB</t>
  </si>
  <si>
    <t>ACTON SUB</t>
  </si>
  <si>
    <t>RIVERWAY SUB</t>
  </si>
  <si>
    <t>DEL SUR SUB</t>
  </si>
  <si>
    <t>FILLMORE SUB</t>
  </si>
  <si>
    <t>GOLDTOWN SUB</t>
  </si>
  <si>
    <t>LANCASTER SUB</t>
  </si>
  <si>
    <t>LITTLE ROCK SUB</t>
  </si>
  <si>
    <t>SHUTTLE SUB</t>
  </si>
  <si>
    <t>REDMAN WUB</t>
  </si>
  <si>
    <t>ROSAMOND SUB</t>
  </si>
  <si>
    <t>PIUTE SUB</t>
  </si>
  <si>
    <t>ELIZABETH LAKE SUB</t>
  </si>
  <si>
    <t>OASIS SUB</t>
  </si>
  <si>
    <t>CAL CEMENT SUB</t>
  </si>
  <si>
    <t>NEENACH SUB</t>
  </si>
  <si>
    <t>NEWBURY SUB</t>
  </si>
  <si>
    <t>PALMDALE SUB</t>
  </si>
  <si>
    <t>QUARTZ HILL SUB</t>
  </si>
  <si>
    <t>HELIJET SUB</t>
  </si>
  <si>
    <t>RANDALL SUB</t>
  </si>
  <si>
    <t>ORANGE PRODUCTS SUB</t>
  </si>
  <si>
    <t>INLAND CONTAINER SUB</t>
  </si>
  <si>
    <t>GANESHA SUB</t>
  </si>
  <si>
    <t>SAN ANTONIO SUB</t>
  </si>
  <si>
    <t>TIPPECANOE SUB</t>
  </si>
  <si>
    <t>COLTON CEMENT SUB</t>
  </si>
  <si>
    <t>AMERON SUB</t>
  </si>
  <si>
    <t>WIMBLEDON SUB</t>
  </si>
  <si>
    <t>VIDEO SUB</t>
  </si>
  <si>
    <t>ATHENS SUBSTATION</t>
  </si>
  <si>
    <t>NAPLES SUBSTATION</t>
  </si>
  <si>
    <t>WATSON SUBSTATION</t>
  </si>
  <si>
    <t>ERIC SUBSTATION</t>
  </si>
  <si>
    <t>SOUTH GATE SUBSTATION</t>
  </si>
  <si>
    <t>BOVINE SUBSTATION</t>
  </si>
  <si>
    <t>MOVIE SUBSTATION</t>
  </si>
  <si>
    <t>BAYSIDE SUBSTATION</t>
  </si>
  <si>
    <t>CARMENITA SUBSTATION</t>
  </si>
  <si>
    <t>PARKWOOD SUBSTATION</t>
  </si>
  <si>
    <t>WAVE SUBSTATION</t>
  </si>
  <si>
    <t>LA HABRA SUBSTATION</t>
  </si>
  <si>
    <t>OCEANVIEW SUBSTATION</t>
  </si>
  <si>
    <t>ALTON SUBSTATION</t>
  </si>
  <si>
    <t>SULLIVAN SUBSTATION</t>
  </si>
  <si>
    <t>SHAWNEE SUBSTATION</t>
  </si>
  <si>
    <t>TUSTIN SUBSTATION</t>
  </si>
  <si>
    <t>TELEGRAPH SUB</t>
  </si>
  <si>
    <t>NIGUEL SUBSTATION</t>
  </si>
  <si>
    <t>LAS LOMAS SUB</t>
  </si>
  <si>
    <t>ROADWAY(CEP)</t>
  </si>
  <si>
    <t>PAUBA(CEP) SUB</t>
  </si>
  <si>
    <t>THORNHILL(CEP) SUB</t>
  </si>
  <si>
    <t>STADLER(CEP) SUB</t>
  </si>
  <si>
    <t>EL CASCO SUBSTATION</t>
  </si>
  <si>
    <t>PAN AERO (CEP) SUB</t>
  </si>
  <si>
    <t>PHELAN(CEP) SUB</t>
  </si>
  <si>
    <t>BANWIND SUBSTATION</t>
  </si>
  <si>
    <t>MIRAGE(CEP) SUB</t>
  </si>
  <si>
    <t>APPLE VALLEY(CEP) SUB</t>
  </si>
  <si>
    <t>BUNKER(CEP) SUB</t>
  </si>
  <si>
    <t>FARREL(CEP) SUB</t>
  </si>
  <si>
    <t>CONCHO(CEP) SUB</t>
  </si>
  <si>
    <t>AULD(CEP) SUB</t>
  </si>
  <si>
    <t>MAXWELL(CEP) SUB</t>
  </si>
  <si>
    <t>SAVAGE(CEP) SUB</t>
  </si>
  <si>
    <t>PEPPER(CEP) SUB</t>
  </si>
  <si>
    <t>YUCCA(CEP) SUB</t>
  </si>
  <si>
    <t>BLACK MOUNTAIN(CEP) SUB</t>
  </si>
  <si>
    <t>ALESSANDRO(CEP) SUB</t>
  </si>
  <si>
    <t>BAKER(CEP) SUB</t>
  </si>
  <si>
    <t>BANNING(CEP) SUB</t>
  </si>
  <si>
    <t>COTTONWOOD(CEP) SUB</t>
  </si>
  <si>
    <t>EDWARDS(CEP) SUB</t>
  </si>
  <si>
    <t>HI DESERT(CEP) SUB</t>
  </si>
  <si>
    <t>MOUNTAIN PASS(CEP) SUB</t>
  </si>
  <si>
    <t>RANDSBURG(CEP) SUB</t>
  </si>
  <si>
    <t>ROCKET TEST(CEP) SUB</t>
  </si>
  <si>
    <t>SEARLES(CEP) SUB</t>
  </si>
  <si>
    <t>ZANJA(CEP) SUB</t>
  </si>
  <si>
    <t>SANTA ROSA(CEP) SUB</t>
  </si>
  <si>
    <t>TORTILLA(CEP) SUB</t>
  </si>
  <si>
    <t>NELSON(CEP) SUB</t>
  </si>
  <si>
    <t>HOMART(CEP) SUB</t>
  </si>
  <si>
    <t>HOLGATE(CEP) SUB</t>
  </si>
  <si>
    <t>CALECTRIC SUB (CEP)</t>
  </si>
  <si>
    <t>GARNET SUB</t>
  </si>
  <si>
    <t>IID TIE SUB</t>
  </si>
  <si>
    <t>TIEFORT SUB</t>
  </si>
  <si>
    <t>USBR BLYTHE SUB</t>
  </si>
  <si>
    <t>VICTOR SUB</t>
  </si>
  <si>
    <t>PUREWATER SUB</t>
  </si>
  <si>
    <t>SEAWIND T/S</t>
  </si>
  <si>
    <t>CHEVMAIN</t>
  </si>
  <si>
    <t>TIFFANYWIND SUB</t>
  </si>
  <si>
    <t>NUSED GALE</t>
  </si>
  <si>
    <t>CARODEAN</t>
  </si>
  <si>
    <t>IVYGLEN SUB</t>
  </si>
  <si>
    <t>HIGHGROVE SWITCHRCK</t>
  </si>
  <si>
    <t>SUN CITY(NEW)</t>
  </si>
  <si>
    <t>AQUEDUCT SUB</t>
  </si>
  <si>
    <t>BADLANDS SUB</t>
  </si>
  <si>
    <t>MENTONE SUB</t>
  </si>
  <si>
    <t>CAJALCO SUB</t>
  </si>
  <si>
    <t>HESPERIA SUB</t>
  </si>
  <si>
    <t>SKYLARK SUB</t>
  </si>
  <si>
    <t>MAYBERRY SUB</t>
  </si>
  <si>
    <t>PERMANENTE SUB</t>
  </si>
  <si>
    <t>ELCENTRO TELEMTERING</t>
  </si>
  <si>
    <t>NILAND TELEMETERING</t>
  </si>
  <si>
    <t>SHANDIN SUB</t>
  </si>
  <si>
    <t>ARROWHEAD SUB</t>
  </si>
  <si>
    <t>STETSON SUB</t>
  </si>
  <si>
    <t>MARSCHINO SUB</t>
  </si>
  <si>
    <t>DUNN SIDING SUB</t>
  </si>
  <si>
    <t>EISENHOWER SUB</t>
  </si>
  <si>
    <t>TAMARISK SUB</t>
  </si>
  <si>
    <t>BARSTOW SUB</t>
  </si>
  <si>
    <t>BLYTHE SUB</t>
  </si>
  <si>
    <t>BRYMAN SUB</t>
  </si>
  <si>
    <t>MILITARY SUB</t>
  </si>
  <si>
    <t>PALM SPRINGS SUB</t>
  </si>
  <si>
    <t>DOWNS SUB</t>
  </si>
  <si>
    <t>GLEN IVY SUB</t>
  </si>
  <si>
    <t>HELENDALE SUB</t>
  </si>
  <si>
    <t>HINKLEY SUB</t>
  </si>
  <si>
    <t>IDYLLWILD SUB</t>
  </si>
  <si>
    <t>MINNEOLA SUB</t>
  </si>
  <si>
    <t>MORENO SUB</t>
  </si>
  <si>
    <t>MURRIETA 2 SUB</t>
  </si>
  <si>
    <t>MURRIETA SUB</t>
  </si>
  <si>
    <t>SOUTHCAP SUB.</t>
  </si>
  <si>
    <t>MUSCOY SUB</t>
  </si>
  <si>
    <t>BELDING SUB</t>
  </si>
  <si>
    <t>ORDWAY SUB</t>
  </si>
  <si>
    <t>PALM CANYON SUB</t>
  </si>
  <si>
    <t>LUCERNE SUB</t>
  </si>
  <si>
    <t>RANCHO SUB</t>
  </si>
  <si>
    <t>RIALTO SUB</t>
  </si>
  <si>
    <t>RIDGECREST SUB</t>
  </si>
  <si>
    <t>SAN JACINTO SUB</t>
  </si>
  <si>
    <t>SUN CITY SUB</t>
  </si>
  <si>
    <t>TEMESCAL SUB</t>
  </si>
  <si>
    <t>WILDE SUB</t>
  </si>
  <si>
    <t>TENAJA SUBSTATION</t>
  </si>
  <si>
    <t>GALE SUB</t>
  </si>
  <si>
    <t>FORGE SUB</t>
  </si>
  <si>
    <t>BUCKWIND</t>
  </si>
  <si>
    <t>CAPWIHND</t>
  </si>
  <si>
    <t>RENWIND</t>
  </si>
  <si>
    <t>SANWIND</t>
  </si>
  <si>
    <t>TRANSWIND</t>
  </si>
  <si>
    <t>VENWIND</t>
  </si>
  <si>
    <t>ALTWIND</t>
  </si>
  <si>
    <t>TERAWIND</t>
  </si>
  <si>
    <t>INDIGO SUBSTATION</t>
  </si>
  <si>
    <t>CALGEN</t>
  </si>
  <si>
    <t>MCGEN</t>
  </si>
  <si>
    <t>SEGS II</t>
  </si>
  <si>
    <t>SEGS III</t>
  </si>
  <si>
    <t>SEGS IV</t>
  </si>
  <si>
    <t>SEGS V</t>
  </si>
  <si>
    <t>SEGS VI</t>
  </si>
  <si>
    <t>SEGS VII</t>
  </si>
  <si>
    <t>SEGS VIII</t>
  </si>
  <si>
    <t>SEGS IX</t>
  </si>
  <si>
    <t>SOPORT</t>
  </si>
  <si>
    <t>NEWCOMB</t>
  </si>
  <si>
    <t>ELSINORE</t>
  </si>
  <si>
    <t>SOUTH BASE SUB</t>
  </si>
  <si>
    <t>INDIAN WELLS SUB</t>
  </si>
  <si>
    <t>PECHANGA SUB</t>
  </si>
  <si>
    <t>MORAGA</t>
  </si>
  <si>
    <t>TANKER SUBSTATION</t>
  </si>
  <si>
    <t>PLUESS SUBSTATION</t>
  </si>
  <si>
    <t>AFG SUBSTATION</t>
  </si>
  <si>
    <t>RECTIFIER SUB</t>
  </si>
  <si>
    <t>MOUNTWIND SUBSTATION</t>
  </si>
  <si>
    <t>COSO SUB</t>
  </si>
  <si>
    <t>MOVAL SUBSTATION</t>
  </si>
  <si>
    <t>RITTER SUB</t>
  </si>
  <si>
    <t>PHARMACY SUBSTATION</t>
  </si>
  <si>
    <t>PLASTER SUBSTATION</t>
  </si>
  <si>
    <t>ONEIL SUBSTATION</t>
  </si>
  <si>
    <t>MIDWAY-PAC INTERTIE</t>
  </si>
  <si>
    <t>PARDEE-PAC INTERTIE</t>
  </si>
  <si>
    <t>SYLMAR-PAC INTERTIE</t>
  </si>
  <si>
    <t>CONSTR FIELD FORCES</t>
  </si>
  <si>
    <t>Div Offices &amp; Misc</t>
  </si>
  <si>
    <t>RP&amp;AS,LND&amp;ESMNT REQUIS</t>
  </si>
  <si>
    <t>TELCOMM-ALHAMBRA</t>
  </si>
  <si>
    <t>PLANT ACCTG-MISC. LEDGER</t>
  </si>
  <si>
    <t>PALOVERDE-SWITCHYARD</t>
  </si>
  <si>
    <t>SHAVER LAKE (FP 67)</t>
  </si>
  <si>
    <t>MET T/S REGION</t>
  </si>
  <si>
    <t>COASTAL T/S REGION</t>
  </si>
  <si>
    <t>EASTERN T/S REGION</t>
  </si>
  <si>
    <t>NRTHN T/S REGION</t>
  </si>
  <si>
    <t>S/E DIV., 66KV LINES</t>
  </si>
  <si>
    <t>SUBSTN DIV</t>
  </si>
  <si>
    <t>NO. T/S REG OFC/VALENCIA</t>
  </si>
  <si>
    <t>METRO REGION</t>
  </si>
  <si>
    <t>CATALINA SERVICE CENTER</t>
  </si>
  <si>
    <t>B&amp;A-T/S 3RD FLOOR-GO3</t>
  </si>
  <si>
    <t>TRANS/SUB SUPPORT SERV</t>
  </si>
  <si>
    <t>FUELS</t>
  </si>
  <si>
    <t>CONTROL SYS SEC-ALHAMBRA</t>
  </si>
  <si>
    <t>HUNTINGTON LK(FP2175)</t>
  </si>
  <si>
    <t>LUNDY</t>
  </si>
  <si>
    <t>BRIDGEPORT (OLD)</t>
  </si>
  <si>
    <t>JUNE LAKE</t>
  </si>
  <si>
    <t>DEEP SPRINGS</t>
  </si>
  <si>
    <t>WHITE MOUNTAIN RADIO</t>
  </si>
  <si>
    <t>MORGAN</t>
  </si>
  <si>
    <t>TIMBERWINE</t>
  </si>
  <si>
    <t>BRIDGEPORT</t>
  </si>
  <si>
    <t>SKILAND</t>
  </si>
  <si>
    <t>MINARET</t>
  </si>
  <si>
    <t>CATALINA ISLAND-DIESEL</t>
  </si>
  <si>
    <t>KRAMER SUB</t>
  </si>
  <si>
    <t>VALLEY-500 KV</t>
  </si>
  <si>
    <t>ALLEN SUB</t>
  </si>
  <si>
    <t>SANTEE DAIRY</t>
  </si>
  <si>
    <t>AMALIA SUB</t>
  </si>
  <si>
    <t>ANITA SUB</t>
  </si>
  <si>
    <t>ARCADIA SUB</t>
  </si>
  <si>
    <t>PROCTOR SUB</t>
  </si>
  <si>
    <t>RENO  SUB</t>
  </si>
  <si>
    <t>LIQUID SUB</t>
  </si>
  <si>
    <t>BELVEDERE SUB</t>
  </si>
  <si>
    <t>BREW SUB</t>
  </si>
  <si>
    <t>FEDERALGEN SUB</t>
  </si>
  <si>
    <t>GARFIELD SUB</t>
  </si>
  <si>
    <t>GARVEY SUB</t>
  </si>
  <si>
    <t>CRYCO SUB</t>
  </si>
  <si>
    <t>GRANADA SUB</t>
  </si>
  <si>
    <t>OUTFALL SUBSTATION</t>
  </si>
  <si>
    <t>SIMPSON PAPER SUBSTATION</t>
  </si>
  <si>
    <t>REFUSE SUB</t>
  </si>
  <si>
    <t>LA CANADA SUB</t>
  </si>
  <si>
    <t>HILLGEN SUB</t>
  </si>
  <si>
    <t>SIGGEN SUB</t>
  </si>
  <si>
    <t>MICHILLINDA SUB</t>
  </si>
  <si>
    <t>MONTEBELLO SUB</t>
  </si>
  <si>
    <t>NEWMARK SUB</t>
  </si>
  <si>
    <t>CYBER SUB</t>
  </si>
  <si>
    <t>5137</t>
  </si>
  <si>
    <t>RAMONA SUB</t>
  </si>
  <si>
    <t>GENAMIC SUB</t>
  </si>
  <si>
    <t>SAN GABRIEL SUB</t>
  </si>
  <si>
    <t>SAN MARINO SUB</t>
  </si>
  <si>
    <t>SIERRA MADRE SUB</t>
  </si>
  <si>
    <t>SANGAR SUB</t>
  </si>
  <si>
    <t>TERRACE SUB</t>
  </si>
  <si>
    <t>PUREAIR SUB</t>
  </si>
  <si>
    <t>AEROJET SUB</t>
  </si>
  <si>
    <t>SO. PACIFIC SUB -PIPELINE</t>
  </si>
  <si>
    <t>HOYTE SUB</t>
  </si>
  <si>
    <t>JOSE SUB</t>
  </si>
  <si>
    <t>IVAR SUB</t>
  </si>
  <si>
    <t>PACKAGE SUB</t>
  </si>
  <si>
    <t>MT WILSON SUB</t>
  </si>
  <si>
    <t>MOBILE 1-9, 14-20 SUB</t>
  </si>
  <si>
    <t>NIETOS SUB</t>
  </si>
  <si>
    <t>REPETTO SUB</t>
  </si>
  <si>
    <t>HARDING SUB</t>
  </si>
  <si>
    <t>RAYMOND SUB</t>
  </si>
  <si>
    <t>BRADBURY SUB</t>
  </si>
  <si>
    <t>SHULTZ SUB</t>
  </si>
  <si>
    <t>SHARON SUB</t>
  </si>
  <si>
    <t>VAIL SUB</t>
  </si>
  <si>
    <t>KIMBALL SUBSTATION</t>
  </si>
  <si>
    <t>5176</t>
  </si>
  <si>
    <t>RAVENDALE SUB</t>
  </si>
  <si>
    <t>AIRPAC SUB</t>
  </si>
  <si>
    <t>AZUSA CITY SUB</t>
  </si>
  <si>
    <t>BADILLO SUB</t>
  </si>
  <si>
    <t>BASSETT SUB</t>
  </si>
  <si>
    <t>COVINA SUB</t>
  </si>
  <si>
    <t>DALTON SUB</t>
  </si>
  <si>
    <t>MCA SUB</t>
  </si>
  <si>
    <t>INDUSTRY SUB</t>
  </si>
  <si>
    <t>LARK ELLEN SUB</t>
  </si>
  <si>
    <t>MERCED SUB</t>
  </si>
  <si>
    <t>SANIGEN SUB</t>
  </si>
  <si>
    <t>PUENTE SUB</t>
  </si>
  <si>
    <t>BEVERLY HILLS SUB</t>
  </si>
  <si>
    <t>POLARIS SUB</t>
  </si>
  <si>
    <t>CULVER CITY SUB</t>
  </si>
  <si>
    <t>DOUGLAS-EL SEGUNDO SUB</t>
  </si>
  <si>
    <t>EL PORTO SUB</t>
  </si>
  <si>
    <t>SEPULVEDA SUB</t>
  </si>
  <si>
    <t>FAIRFAX SUB</t>
  </si>
  <si>
    <t>DOHENY SUB</t>
  </si>
  <si>
    <t>HOWARD SUB</t>
  </si>
  <si>
    <t>INGLEWOOD SUB</t>
  </si>
  <si>
    <t>MOOG SUBSTATION</t>
  </si>
  <si>
    <t>COSMIC SUB</t>
  </si>
  <si>
    <t>MADRID SUB</t>
  </si>
  <si>
    <t>MANHATTAN SUB</t>
  </si>
  <si>
    <t>MARINE SUB</t>
  </si>
  <si>
    <t>MONETA SUB</t>
  </si>
  <si>
    <t>MORNINGSIDE SUB</t>
  </si>
  <si>
    <t>HUGHTRON SUB</t>
  </si>
  <si>
    <t>OCEAN PARK SUB</t>
  </si>
  <si>
    <t>OLYMPIC SUB</t>
  </si>
  <si>
    <t>PALOS VERDES SUB</t>
  </si>
  <si>
    <t>PEARL SUB</t>
  </si>
  <si>
    <t>PERRY SUB</t>
  </si>
  <si>
    <t>BRIGHTON SUB</t>
  </si>
  <si>
    <t>REDONDO SUB</t>
  </si>
  <si>
    <t>ROSECRANS SUB</t>
  </si>
  <si>
    <t>MOBILOIL SUB</t>
  </si>
  <si>
    <t>SAN VINCENTE SUB</t>
  </si>
  <si>
    <t>SANTA MONICA SUB</t>
  </si>
  <si>
    <t>VICTORIA SUB</t>
  </si>
  <si>
    <t>WALTERIA SUB</t>
  </si>
  <si>
    <t>VALDEZ SUB</t>
  </si>
  <si>
    <t>LAWNDALE SUB</t>
  </si>
  <si>
    <t>CRATER SUB</t>
  </si>
  <si>
    <t>RINDGE SUB</t>
  </si>
  <si>
    <t>COLORADO SUB</t>
  </si>
  <si>
    <t>TOPANGA SUB</t>
  </si>
  <si>
    <t>FLETON SUB</t>
  </si>
  <si>
    <t>BEDFORD SUB</t>
  </si>
  <si>
    <t>DITMAR SUB</t>
  </si>
  <si>
    <t>HUGHESAIR SUB</t>
  </si>
  <si>
    <t>ZUMA SUB</t>
  </si>
  <si>
    <t>SAWTELLE SUB</t>
  </si>
  <si>
    <t>RALPHS SUB</t>
  </si>
  <si>
    <t>ROLLING HILLS SUB</t>
  </si>
  <si>
    <t>TRISONIC SUB</t>
  </si>
  <si>
    <t>HAVEDA SUB</t>
  </si>
  <si>
    <t>LUNADA SUB</t>
  </si>
  <si>
    <t>AMCO SUB</t>
  </si>
  <si>
    <t>BRIDGE SUB</t>
  </si>
  <si>
    <t>SHELLINE</t>
  </si>
  <si>
    <t>STIRRUP SUB</t>
  </si>
  <si>
    <t>COLOSSUS SUB</t>
  </si>
  <si>
    <t>LOSULFUR SUB</t>
  </si>
  <si>
    <t>ARCO SUBSTATION</t>
  </si>
  <si>
    <t>THERMAL SUB</t>
  </si>
  <si>
    <t>CREST SUB</t>
  </si>
  <si>
    <t>REFINERY SUB</t>
  </si>
  <si>
    <t>BLUFF COVE SUB</t>
  </si>
  <si>
    <t>SPACE SUB</t>
  </si>
  <si>
    <t>TOPAZ SUB</t>
  </si>
  <si>
    <t>TORRANCE SUB</t>
  </si>
  <si>
    <t>CORNER SUB</t>
  </si>
  <si>
    <t>TAHITI SUB</t>
  </si>
  <si>
    <t>LATIGO SUB</t>
  </si>
  <si>
    <t>STANHILL SUB</t>
  </si>
  <si>
    <t>GALAXY SUB</t>
  </si>
  <si>
    <t>MARYMOUNT SUB</t>
  </si>
  <si>
    <t>AIRCHEM SUB</t>
  </si>
  <si>
    <t>TAPIA SUB</t>
  </si>
  <si>
    <t>WESTHILL SUB</t>
  </si>
  <si>
    <t>VARWIND SUB</t>
  </si>
  <si>
    <t>GATX SUB</t>
  </si>
  <si>
    <t>CARBOGEN SUB</t>
  </si>
  <si>
    <t>PALOGEN SUB</t>
  </si>
  <si>
    <t>CHEVGEN SUB</t>
  </si>
  <si>
    <t>XEROX SUBSTATION</t>
  </si>
  <si>
    <t>RALPHS SUB (COMPTON)</t>
  </si>
  <si>
    <t>TOYOTA SUB</t>
  </si>
  <si>
    <t>SONY SUBSTATION</t>
  </si>
  <si>
    <t>SHRED SUBSTATION</t>
  </si>
  <si>
    <t>TIDELANDS SUBSTATION</t>
  </si>
  <si>
    <t>HANJIN SUBSTATION</t>
  </si>
  <si>
    <t>WASTEWATER SUBSTATION</t>
  </si>
  <si>
    <t>AIRPRO SUBSTATION</t>
  </si>
  <si>
    <t>DEL MAR SUBSTATION</t>
  </si>
  <si>
    <t>MAGMAGEN SUBSTATION</t>
  </si>
  <si>
    <t>CHEVCENTRAL SUB</t>
  </si>
  <si>
    <t>APL SUBSTATION</t>
  </si>
  <si>
    <t>KIWI SUBSTATION</t>
  </si>
  <si>
    <t>PITMAN SUB</t>
  </si>
  <si>
    <t>BIG CREEK 2</t>
  </si>
  <si>
    <t>BLISS SUB</t>
  </si>
  <si>
    <t>BROWNING SUB</t>
  </si>
  <si>
    <t>DELANO SUB</t>
  </si>
  <si>
    <t>EARLIMART SUB</t>
  </si>
  <si>
    <t>EXETER SUB</t>
  </si>
  <si>
    <t>GLENNVILLE SUB</t>
  </si>
  <si>
    <t>GOSHEN SUB</t>
  </si>
  <si>
    <t>HANFORD SUB</t>
  </si>
  <si>
    <t>HAVILAH SUB</t>
  </si>
  <si>
    <t>LIBERTY SUB</t>
  </si>
  <si>
    <t>ELCANS SUB</t>
  </si>
  <si>
    <t>LAUREL SUB</t>
  </si>
  <si>
    <t>LEMON COVE SUB</t>
  </si>
  <si>
    <t>LINDSAY SUB</t>
  </si>
  <si>
    <t>LORAINE SUB</t>
  </si>
  <si>
    <t>MARIPOSA SUB</t>
  </si>
  <si>
    <t>OCTOL SUB</t>
  </si>
  <si>
    <t>PIXLEY SUB</t>
  </si>
  <si>
    <t>POPLAR SUB</t>
  </si>
  <si>
    <t>PORTERVILLE SUB</t>
  </si>
  <si>
    <t>ULTRAGEN SUB</t>
  </si>
  <si>
    <t>TERRA BELLA SUB</t>
  </si>
  <si>
    <t>TIPTON SUB</t>
  </si>
  <si>
    <t>TULARE SUB</t>
  </si>
  <si>
    <t>VENICE HILL SUB</t>
  </si>
  <si>
    <t>VENIDA SUB</t>
  </si>
  <si>
    <t>WALKERBASIN SUB</t>
  </si>
  <si>
    <t>WOODVILLE SUB</t>
  </si>
  <si>
    <t>KAWGEN SUB</t>
  </si>
  <si>
    <t>LOUIS RICH</t>
  </si>
  <si>
    <t>COLUMBINE SUB</t>
  </si>
  <si>
    <t>OAK GROVE SUB</t>
  </si>
  <si>
    <t>MOONEY SUB</t>
  </si>
  <si>
    <t>GREENHORN SUB</t>
  </si>
  <si>
    <t>DIVISADERO SUB</t>
  </si>
  <si>
    <t>GRANGEVILLE SUB</t>
  </si>
  <si>
    <t>QUINN SUB</t>
  </si>
  <si>
    <t>WOODLAKE SUB</t>
  </si>
  <si>
    <t>CAPTIVE SUB</t>
  </si>
  <si>
    <t>CHATHAM SUB</t>
  </si>
  <si>
    <t>ISABELLA SUB</t>
  </si>
  <si>
    <t>WHEATLAND SUB</t>
  </si>
  <si>
    <t>THREE RIVERS SUB</t>
  </si>
  <si>
    <t>BOXWOOD SUB</t>
  </si>
  <si>
    <t>WELDON SUB</t>
  </si>
  <si>
    <t>KERNVILLE SUB</t>
  </si>
  <si>
    <t>BREEZE SUB</t>
  </si>
  <si>
    <t>PANDOL SUB</t>
  </si>
  <si>
    <t>LANPRI SUB</t>
  </si>
  <si>
    <t>VIRGIN SUB</t>
  </si>
  <si>
    <t>DESAL SUB</t>
  </si>
  <si>
    <t>ARCO SUB</t>
  </si>
  <si>
    <t>ELLWOOD SUB</t>
  </si>
  <si>
    <t>DAIRY SUB</t>
  </si>
  <si>
    <t>LEHMAN SUB</t>
  </si>
  <si>
    <t>CAPITAN SUB</t>
  </si>
  <si>
    <t>PROTEIN SUBSTATION</t>
  </si>
  <si>
    <t>N/E T/S DIV-VARIOUS SUB</t>
  </si>
  <si>
    <t>MISSILE SUB(POINT MOGU)</t>
  </si>
  <si>
    <t>ZOND WIND SUB</t>
  </si>
  <si>
    <t>CALWIND SUB</t>
  </si>
  <si>
    <t>CANWIND SUB</t>
  </si>
  <si>
    <t>ENWIND SUB</t>
  </si>
  <si>
    <t>MORWIND SUB</t>
  </si>
  <si>
    <t>FLOWIND SUB</t>
  </si>
  <si>
    <t>ARBWIND SUB</t>
  </si>
  <si>
    <t>SILVER PEAK SUB</t>
  </si>
  <si>
    <t>DUTCHWIND SUB</t>
  </si>
  <si>
    <t>OAKWIND SUB</t>
  </si>
  <si>
    <t>SOUTHWIND SUB</t>
  </si>
  <si>
    <t>MIDWIND SUB</t>
  </si>
  <si>
    <t>ZEEWIND SUB</t>
  </si>
  <si>
    <t>WRIGHTWOOD SUB</t>
  </si>
  <si>
    <t>TORTOISE SUB</t>
  </si>
  <si>
    <t>RITEAID SUBSTATION</t>
  </si>
  <si>
    <t>CORRECTION SUBSTATION</t>
  </si>
  <si>
    <t>TORREY SUB</t>
  </si>
  <si>
    <t>CARPINTERIA SUB</t>
  </si>
  <si>
    <t>CASITAS SUB</t>
  </si>
  <si>
    <t>COLONIA SUB</t>
  </si>
  <si>
    <t>CHANNEL ISLANDS SUB</t>
  </si>
  <si>
    <t>ORTEGA SUB</t>
  </si>
  <si>
    <t>OXGEN SUB</t>
  </si>
  <si>
    <t>GORMAN SUB</t>
  </si>
  <si>
    <t>COLEGIO SUBSTATION</t>
  </si>
  <si>
    <t>PROCGEN SUB</t>
  </si>
  <si>
    <t>CAMARILLO SUB</t>
  </si>
  <si>
    <t>MALIBU SUB</t>
  </si>
  <si>
    <t>MODOC SUB</t>
  </si>
  <si>
    <t>UNIOIL SUB</t>
  </si>
  <si>
    <t>NORTHWIND SUB</t>
  </si>
  <si>
    <t>MONTECITO SUB</t>
  </si>
  <si>
    <t>OAK PARK SUB</t>
  </si>
  <si>
    <t>OJAI SUB</t>
  </si>
  <si>
    <t>OXNARD SUB</t>
  </si>
  <si>
    <t>PIERPONT SUB</t>
  </si>
  <si>
    <t>PIRU SUB</t>
  </si>
  <si>
    <t>SANTA BARBARA SUB</t>
  </si>
  <si>
    <t>SANTA SUSANA SUB</t>
  </si>
  <si>
    <t>SATICOY SUB</t>
  </si>
  <si>
    <t>CHARMIN SUB</t>
  </si>
  <si>
    <t>SOMIS SUB</t>
  </si>
  <si>
    <t>VENTURA SUB</t>
  </si>
  <si>
    <t>ANAVERDE SUB</t>
  </si>
  <si>
    <t>NORTH OAKS</t>
  </si>
  <si>
    <t>WILLAMETTE SUB</t>
  </si>
  <si>
    <t>CAMAR SUB</t>
  </si>
  <si>
    <t>CORUM SUB</t>
  </si>
  <si>
    <t>PORTER SUB</t>
  </si>
  <si>
    <t>SAN FERNANDO SUB</t>
  </si>
  <si>
    <t>MAC NEIL SUBSTATION</t>
  </si>
  <si>
    <t>LEVY SUB</t>
  </si>
  <si>
    <t>SHELLSOM SUB</t>
  </si>
  <si>
    <t>CHATSWORTH SUB</t>
  </si>
  <si>
    <t>SOLEMINT SUB</t>
  </si>
  <si>
    <t>GREAT LAKES SUB</t>
  </si>
  <si>
    <t>GRISWOLD SUB</t>
  </si>
  <si>
    <t>ESTERO SUB</t>
  </si>
  <si>
    <t>PLAYA SUB</t>
  </si>
  <si>
    <t>WILSONA SUB</t>
  </si>
  <si>
    <t>LOCKHEED SUB</t>
  </si>
  <si>
    <t>THOUSAND OAKS SUB</t>
  </si>
  <si>
    <t>VEGAS SUB</t>
  </si>
  <si>
    <t>GAVIOTA SUB</t>
  </si>
  <si>
    <t>ROCKETDYNE SUB</t>
  </si>
  <si>
    <t>APPGEN SUB</t>
  </si>
  <si>
    <t>TENGEN SUB</t>
  </si>
  <si>
    <t>NEWHALL SUB</t>
  </si>
  <si>
    <t>SAN MIGUEL SUB</t>
  </si>
  <si>
    <t>BURRO FLATS SUB</t>
  </si>
  <si>
    <t>WAKEFIELD SUB</t>
  </si>
  <si>
    <t>ROYAL SUB</t>
  </si>
  <si>
    <t>EXXON CO. USA SUB</t>
  </si>
  <si>
    <t>PITCHGEN SUB</t>
  </si>
  <si>
    <t>UNIVERSAL CITY SUB</t>
  </si>
  <si>
    <t>SAN MARCOS SUB</t>
  </si>
  <si>
    <t>GONZALES SUB</t>
  </si>
  <si>
    <t>THRUST SUB</t>
  </si>
  <si>
    <t>WESTPAC SUB</t>
  </si>
  <si>
    <t>HASKELL SUB</t>
  </si>
  <si>
    <t>CAMGEN SUB</t>
  </si>
  <si>
    <t>ISLA VISTA SUB</t>
  </si>
  <si>
    <t>POTRERO SUB</t>
  </si>
  <si>
    <t>EASTERN DIV SUB</t>
  </si>
  <si>
    <t>ARRO SUB</t>
  </si>
  <si>
    <t>TROPHY SUB</t>
  </si>
  <si>
    <t>TIMOTEO SUB</t>
  </si>
  <si>
    <t>BEAUMONT SUB</t>
  </si>
  <si>
    <t>CAPSULE SUB</t>
  </si>
  <si>
    <t>CARDIFF SUB</t>
  </si>
  <si>
    <t>PLASTIC SUB</t>
  </si>
  <si>
    <t>COLTON SUB</t>
  </si>
  <si>
    <t>LIVE OAK SUB</t>
  </si>
  <si>
    <t>AGUA MANSA SUB</t>
  </si>
  <si>
    <t>PEYTON SUB</t>
  </si>
  <si>
    <t>DECLEZ SUB</t>
  </si>
  <si>
    <t>FLANCO SUB</t>
  </si>
  <si>
    <t>FIREHOUSE SUB</t>
  </si>
  <si>
    <t>HIGHLAND SUB</t>
  </si>
  <si>
    <t>BLOOMINGTON SUB</t>
  </si>
  <si>
    <t>HUSTON SUB</t>
  </si>
  <si>
    <t>JUNCTION SUB</t>
  </si>
  <si>
    <t>5623</t>
  </si>
  <si>
    <t>NORCO SUB</t>
  </si>
  <si>
    <t>ONTARIO SUB</t>
  </si>
  <si>
    <t>PEDLEY SUB</t>
  </si>
  <si>
    <t>POMONA SUB</t>
  </si>
  <si>
    <t>TENNESSEE SUB</t>
  </si>
  <si>
    <t>REDLANDS SUB</t>
  </si>
  <si>
    <t>GRAPELAND PEAKER SUB</t>
  </si>
  <si>
    <t>STODDARD SUB</t>
  </si>
  <si>
    <t>SAN DIMAS SUB</t>
  </si>
  <si>
    <t>KAISER STEEL SUB</t>
  </si>
  <si>
    <t>UPLAND SUB</t>
  </si>
  <si>
    <t>YUCAIPA SUB</t>
  </si>
  <si>
    <t>KEM SUB</t>
  </si>
  <si>
    <t>FRANCIS SUB</t>
  </si>
  <si>
    <t>BURNT MILL SUB</t>
  </si>
  <si>
    <t>MT VERNON SUB</t>
  </si>
  <si>
    <t>EUCLID SUB</t>
  </si>
  <si>
    <t>LAYFAIR SUB</t>
  </si>
  <si>
    <t>VALENCIA SUB</t>
  </si>
  <si>
    <t>NAROD SUB</t>
  </si>
  <si>
    <t>LINDE AIR SUB</t>
  </si>
  <si>
    <t>SMILEY SUB</t>
  </si>
  <si>
    <t>REDUCTION SUB</t>
  </si>
  <si>
    <t>NOGALES SUB</t>
  </si>
  <si>
    <t>BAIN SUB</t>
  </si>
  <si>
    <t>WHEEL SUB</t>
  </si>
  <si>
    <t>PIPE SUB</t>
  </si>
  <si>
    <t>ARCHIBALD SUB</t>
  </si>
  <si>
    <t>RUNNING SPRINGS SUB</t>
  </si>
  <si>
    <t>ARBORS SUB</t>
  </si>
  <si>
    <t>MILLIKEN SUB</t>
  </si>
  <si>
    <t>HAVASU SUB</t>
  </si>
  <si>
    <t>ARCHLINE SUB</t>
  </si>
  <si>
    <t>CRESTMORE SUB</t>
  </si>
  <si>
    <t>DEL ROSA SUB</t>
  </si>
  <si>
    <t>ALDER SUB</t>
  </si>
  <si>
    <t>WHIPPLE SUB</t>
  </si>
  <si>
    <t>CUCAMONGA SUB</t>
  </si>
  <si>
    <t>LANDING SUB</t>
  </si>
  <si>
    <t>CHASE SUB</t>
  </si>
  <si>
    <t>DIAMOND BAR SUB</t>
  </si>
  <si>
    <t>GARDEN STATE SUB</t>
  </si>
  <si>
    <t>UNIMED SUB</t>
  </si>
  <si>
    <t>DELGEN SUB</t>
  </si>
  <si>
    <t>CIMGEN SUB</t>
  </si>
  <si>
    <t>SOQUEL SUB</t>
  </si>
  <si>
    <t>ROCKAIR SUB</t>
  </si>
  <si>
    <t>SIMPSON SUB</t>
  </si>
  <si>
    <t>DATABANK SUB</t>
  </si>
  <si>
    <t>CLAREMONT SUB</t>
  </si>
  <si>
    <t>FIBRE SUB</t>
  </si>
  <si>
    <t>POLYPRO SUB</t>
  </si>
  <si>
    <t>KINDER SUB.</t>
  </si>
  <si>
    <t>ALON SUB</t>
  </si>
  <si>
    <t>NAVY MOLE SUB</t>
  </si>
  <si>
    <t>SHELLWAT SUB</t>
  </si>
  <si>
    <t>BELMONT SUB</t>
  </si>
  <si>
    <t>BIXBY SUB</t>
  </si>
  <si>
    <t>BOWL SUB</t>
  </si>
  <si>
    <t>INJECTION SUB</t>
  </si>
  <si>
    <t>BREWSTER SUB</t>
  </si>
  <si>
    <t>CARSON SUB</t>
  </si>
  <si>
    <t>CAMERON SUB</t>
  </si>
  <si>
    <t>CUDAHY SUB</t>
  </si>
  <si>
    <t>BOOST SUB</t>
  </si>
  <si>
    <t>FRUITLAND SUB</t>
  </si>
  <si>
    <t>ASTRO SUB</t>
  </si>
  <si>
    <t>FREEMONT SUB</t>
  </si>
  <si>
    <t>DIKE SUBSTATION</t>
  </si>
  <si>
    <t>PICO SUBSTATION</t>
  </si>
  <si>
    <t>CORNUTA SUBSTATION</t>
  </si>
  <si>
    <t>GRAHAM SUBSTATION</t>
  </si>
  <si>
    <t>HATHAWAY SUBSTATION</t>
  </si>
  <si>
    <t>HUNTINGTON PARK SUB</t>
  </si>
  <si>
    <t>PACLINE SUBSTATION</t>
  </si>
  <si>
    <t>LYNWOOD SUBSTATION</t>
  </si>
  <si>
    <t>MAYWOOD SUBSTATION</t>
  </si>
  <si>
    <t>LAKEWOOD SUBSTATION</t>
  </si>
  <si>
    <t>LINDEN SUBSTATION</t>
  </si>
  <si>
    <t>LOCUST SUBSTATION</t>
  </si>
  <si>
    <t>LOS CERRITOS SUB</t>
  </si>
  <si>
    <t>RANDOLPH SUBSTATION</t>
  </si>
  <si>
    <t>THUMS "A" SUBSTATION</t>
  </si>
  <si>
    <t>THUMS "B" SUBSTATION</t>
  </si>
  <si>
    <t>OLDFIELD SUBSTATION</t>
  </si>
  <si>
    <t>LARDER SUBSTATION</t>
  </si>
  <si>
    <t>SANITREAT SUBSTATION</t>
  </si>
  <si>
    <t>FERNWOOD SUBSTATION</t>
  </si>
  <si>
    <t>CALDEN SUBSTATION</t>
  </si>
  <si>
    <t>NOLA SUBSTATION</t>
  </si>
  <si>
    <t>SIGNAL HILL</t>
  </si>
  <si>
    <t>SOMERSET SUBSTATION</t>
  </si>
  <si>
    <t>STATE STREET SUBSTATION</t>
  </si>
  <si>
    <t>BULLIS SUBSTATION</t>
  </si>
  <si>
    <t>WEBCO SUBSTATION</t>
  </si>
  <si>
    <t>THUMS "C" SUBSTATION</t>
  </si>
  <si>
    <t>THUMS "D" SUBSTATION</t>
  </si>
  <si>
    <t>COLLEGE SUBSTATION</t>
  </si>
  <si>
    <t>REVITAL SUBSTATION</t>
  </si>
  <si>
    <t>DAISY SUBSTATION</t>
  </si>
  <si>
    <t>COMPTON SUBSTATION</t>
  </si>
  <si>
    <t>BROADWAY</t>
  </si>
  <si>
    <t>CLARK SUBSTATION</t>
  </si>
  <si>
    <t>GAGE SUBSTATION</t>
  </si>
  <si>
    <t>LUCAS SUBSTATION</t>
  </si>
  <si>
    <t>IMPERIAL SUB</t>
  </si>
  <si>
    <t>FUEL SUBSTATION</t>
  </si>
  <si>
    <t>LONGDON SUBSTATION</t>
  </si>
  <si>
    <t>DOMHILL SUBSTATION</t>
  </si>
  <si>
    <t>JERSEY SUBSTATION</t>
  </si>
  <si>
    <t>WOODRUFF SUBSTATION</t>
  </si>
  <si>
    <t>DAVIDSON CITY</t>
  </si>
  <si>
    <t>NAOMI SUBSTATION</t>
  </si>
  <si>
    <t>NEPTUNE SUBSTATION</t>
  </si>
  <si>
    <t>DOUGOIL SUB</t>
  </si>
  <si>
    <t>HEDDA SUBSTATION</t>
  </si>
  <si>
    <t>SUNNYSIDE SUBSTATION</t>
  </si>
  <si>
    <t>ARTESIA SUBSTATION</t>
  </si>
  <si>
    <t>SEABRIGHT SUBSTATION</t>
  </si>
  <si>
    <t>GREENING SUBSTATION</t>
  </si>
  <si>
    <t>WESTEX SUBSTATION</t>
  </si>
  <si>
    <t>ATRICH SUBSTATION</t>
  </si>
  <si>
    <t>CERTIFIED SUBSTATION</t>
  </si>
  <si>
    <t>STADIUM SUBSTATION</t>
  </si>
  <si>
    <t>CHERRY SUBSTATION</t>
  </si>
  <si>
    <t>PAPERMATE SUB</t>
  </si>
  <si>
    <t>SOUTHEAST DIVISION</t>
  </si>
  <si>
    <t>VERA SUBSTATION</t>
  </si>
  <si>
    <t>MODENA SUBSTATION</t>
  </si>
  <si>
    <t>SMITH TOOL SUBSTATION</t>
  </si>
  <si>
    <t>ATWOOD SUBSTATION</t>
  </si>
  <si>
    <t>APOLLO SUBSTATION</t>
  </si>
  <si>
    <t>BOLSA SUBSTATION</t>
  </si>
  <si>
    <t>BRYAN SUBSTATION</t>
  </si>
  <si>
    <t>SLATER SUBSTATION</t>
  </si>
  <si>
    <t>BRISTOL SUBSTATION</t>
  </si>
  <si>
    <t>CHIQUITA SUBSTATION</t>
  </si>
  <si>
    <t>MURPHY SUB</t>
  </si>
  <si>
    <t>CAROLINA SUBSTATION</t>
  </si>
  <si>
    <t>PAPER SUBSTATION</t>
  </si>
  <si>
    <t>COSTA MESA SUBSTATION</t>
  </si>
  <si>
    <t>CROWN SUBSTATION</t>
  </si>
  <si>
    <t>ELY SUBSTATION</t>
  </si>
  <si>
    <t>DOWNEY SUB</t>
  </si>
  <si>
    <t>FAIRVIEW SUBSTATION</t>
  </si>
  <si>
    <t>FULLERTON SUBSTATION</t>
  </si>
  <si>
    <t>GALLATIN SUB</t>
  </si>
  <si>
    <t>WEICO SUBSTATION</t>
  </si>
  <si>
    <t>HAMILTON SUBSTATION</t>
  </si>
  <si>
    <t>CAMDEN SUBSTATION</t>
  </si>
  <si>
    <t>IRVINE SUBSTATION</t>
  </si>
  <si>
    <t>SOUTH PAC SUBSTATION</t>
  </si>
  <si>
    <t>GILBERT SUBSTATION</t>
  </si>
  <si>
    <t>LA MIRADA SUBSTATION</t>
  </si>
  <si>
    <t>LA VETA SUBSTATION</t>
  </si>
  <si>
    <t>MORRO SUBSTATION</t>
  </si>
  <si>
    <t>CYPRESS SUBSTATION</t>
  </si>
  <si>
    <t>NARROWS SUB</t>
  </si>
  <si>
    <t>SUNNYHILLS SUBSTATION</t>
  </si>
  <si>
    <t>LEANDRO SUBSTATION</t>
  </si>
  <si>
    <t>ORANGE SUBSTATION</t>
  </si>
  <si>
    <t>WILSHIRE SUB</t>
  </si>
  <si>
    <t>MOULTON SUBSTATION</t>
  </si>
  <si>
    <t>MERCURY SUB</t>
  </si>
  <si>
    <t>RIVERA SUB</t>
  </si>
  <si>
    <t>SANTA ANA SUBSTATION</t>
  </si>
  <si>
    <t>SANTA FE SPRINGS SUB</t>
  </si>
  <si>
    <t>GISLER SUBSTATION</t>
  </si>
  <si>
    <t>STEWART SUB</t>
  </si>
  <si>
    <t>TALBERT SUBSTATION</t>
  </si>
  <si>
    <t>BROOKHURST SUBSTATION</t>
  </si>
  <si>
    <t>WASHINGTON SUBSTATION</t>
  </si>
  <si>
    <t>SPONGE SUB</t>
  </si>
  <si>
    <t>CEDARWOOD SUBSTATION</t>
  </si>
  <si>
    <t>CHESTNUT SUBSTATION</t>
  </si>
  <si>
    <t>BARTOLO SUB</t>
  </si>
  <si>
    <t>EDGEWATER SUBSTATION</t>
  </si>
  <si>
    <t>ESTRELLA SUBSTATION</t>
  </si>
  <si>
    <t>MARION SUBSTATION</t>
  </si>
  <si>
    <t>ARCH BEACH SUBSTATION</t>
  </si>
  <si>
    <t>LAMPSON SUBSTATION</t>
  </si>
  <si>
    <t>NORSEAL SUBSTATION</t>
  </si>
  <si>
    <t>LAFAYETTE SUBSTATION</t>
  </si>
  <si>
    <t>LA PALMA SUBSTATION</t>
  </si>
  <si>
    <t>MAC ARTHUR SUBSTATION</t>
  </si>
  <si>
    <t>EDINGER SUBSTATION</t>
  </si>
  <si>
    <t>CABRILLO SUBSTATION</t>
  </si>
  <si>
    <t>YORBA LINDA SUBSTATION</t>
  </si>
  <si>
    <t>BASTA SUBSTATION</t>
  </si>
  <si>
    <t>BURRIS PIT</t>
  </si>
  <si>
    <t>POWERINE SUB</t>
  </si>
  <si>
    <t>PIONEER SUB</t>
  </si>
  <si>
    <t>BORREGO SUBSTATION</t>
  </si>
  <si>
    <t>WESTGATE SUB</t>
  </si>
  <si>
    <t>PLACENTIA SUBSTATION</t>
  </si>
  <si>
    <t>CANYON SUBSTATION</t>
  </si>
  <si>
    <t>FRIENDLY HILLS SUB</t>
  </si>
  <si>
    <t>PASSONS SUB</t>
  </si>
  <si>
    <t>AMMONIA SUBSTATION</t>
  </si>
  <si>
    <t>PAULARINO SUBSTATION</t>
  </si>
  <si>
    <t>SOCO SUBSTATION</t>
  </si>
  <si>
    <t>FLORADAY SUB</t>
  </si>
  <si>
    <t>TRASK SUBSTATION</t>
  </si>
  <si>
    <t>HOPEFUL SUB</t>
  </si>
  <si>
    <t>SKINWATER SUB</t>
  </si>
  <si>
    <t>5903</t>
  </si>
  <si>
    <t>SN ONOFRE SWTHRK-100%SCE</t>
  </si>
  <si>
    <t>SN BRDNO SWTCHRCK</t>
  </si>
  <si>
    <t>NUSED RAILROAD CNYN(NEW)</t>
  </si>
  <si>
    <t>AMARGO SUB</t>
  </si>
  <si>
    <t>AMBOY SUB</t>
  </si>
  <si>
    <t>FARRELL SUB</t>
  </si>
  <si>
    <t>APPLE VALLEY SUB</t>
  </si>
  <si>
    <t>ARABY SUB</t>
  </si>
  <si>
    <t>CABAZON SUB</t>
  </si>
  <si>
    <t>CADY SUB</t>
  </si>
  <si>
    <t>CANTIL SUB</t>
  </si>
  <si>
    <t>LITTLE LAKE SUB</t>
  </si>
  <si>
    <t>CATHEDRAL CITY SUB</t>
  </si>
  <si>
    <t>CHASE 2 SUB</t>
  </si>
  <si>
    <t>CONVERSE FLATS SUB</t>
  </si>
  <si>
    <t>CAL CITY SUB</t>
  </si>
  <si>
    <t>DAGGETT SUB</t>
  </si>
  <si>
    <t>DESERT OUTPOST SUB</t>
  </si>
  <si>
    <t>DUNES SUB</t>
  </si>
  <si>
    <t>EAST BARSTOW SUB</t>
  </si>
  <si>
    <t>VENT SUB</t>
  </si>
  <si>
    <t>EDGEMONT SUB</t>
  </si>
  <si>
    <t>FOREST HOME SUB</t>
  </si>
  <si>
    <t>GEORGE AIR FORCE BASE SUB</t>
  </si>
  <si>
    <t>GLEN AVON SUB</t>
  </si>
  <si>
    <t>GOLDSTONE SUB</t>
  </si>
  <si>
    <t>NUGGET SUB</t>
  </si>
  <si>
    <t>EL SOBRANTE SUB</t>
  </si>
  <si>
    <t>HARPER LAKE SUB</t>
  </si>
  <si>
    <t>HARVARD SUB</t>
  </si>
  <si>
    <t>DEFRAIN SUB</t>
  </si>
  <si>
    <t>HEMET SUB</t>
  </si>
  <si>
    <t>INYOKERN TOWN SUB</t>
  </si>
  <si>
    <t>COFFEE SUB</t>
  </si>
  <si>
    <t>JOSHUA TREE SUB</t>
  </si>
  <si>
    <t>KEMPSTER SUB</t>
  </si>
  <si>
    <t>LAKEVIEW SUB</t>
  </si>
  <si>
    <t>8179</t>
  </si>
  <si>
    <t>SOUTHDOWN SUBSTATION</t>
  </si>
  <si>
    <t>NORTH INTAKE SUB</t>
  </si>
  <si>
    <t>NORTH MUROC SUB</t>
  </si>
  <si>
    <t>HOLIDAY SUB</t>
  </si>
  <si>
    <t>NUEVO SUB</t>
  </si>
  <si>
    <t>OLIVE LAKE SUB</t>
  </si>
  <si>
    <t>ORO GRANDE SUB</t>
  </si>
  <si>
    <t>PALM VILLAGE SUB</t>
  </si>
  <si>
    <t>PEERLESS SUB</t>
  </si>
  <si>
    <t>GAVILAN SUB</t>
  </si>
  <si>
    <t>RAILROAD CANYON (OLD) SUB</t>
  </si>
  <si>
    <t>RIPLEY SUB</t>
  </si>
  <si>
    <t>CANYON LAKE SUBSTATION</t>
  </si>
  <si>
    <t>RUBIDOUX SUB</t>
  </si>
  <si>
    <t>SECOND AVENUE SUB</t>
  </si>
  <si>
    <t>SILVER SPUR SUB</t>
  </si>
  <si>
    <t>SIXTEENTH STREET SUB</t>
  </si>
  <si>
    <t>SUNNY DUNES SUB</t>
  </si>
  <si>
    <t>THUNDERBIRD SUB</t>
  </si>
  <si>
    <t>TRONA SUB</t>
  </si>
  <si>
    <t>TWENTYNINE PALMS SUB</t>
  </si>
  <si>
    <t>VERDANT SUB</t>
  </si>
  <si>
    <t>VICTORVILLE SUB</t>
  </si>
  <si>
    <t>WEST BARSTOW SUB</t>
  </si>
  <si>
    <t>PEREZ SUB</t>
  </si>
  <si>
    <t>WEST RIVERSIDE SUB</t>
  </si>
  <si>
    <t>WHITEWATER SUB</t>
  </si>
  <si>
    <t>YERMO SUB</t>
  </si>
  <si>
    <t>CLEARGEN SUB</t>
  </si>
  <si>
    <t>115kV/12kV</t>
  </si>
  <si>
    <t>IRON MOUNTAIN SUB</t>
  </si>
  <si>
    <t>JEFFERSON SUB</t>
  </si>
  <si>
    <t>CORONA SUB</t>
  </si>
  <si>
    <t>GOLD HILL SUB</t>
  </si>
  <si>
    <t>NELSON SUB</t>
  </si>
  <si>
    <t>METALCAN SUB</t>
  </si>
  <si>
    <t>TAYSHELL SUB</t>
  </si>
  <si>
    <t>GETTY SUB</t>
  </si>
  <si>
    <t>FRAZIER PARK SUB</t>
  </si>
  <si>
    <t>RINGMILL SUB</t>
  </si>
  <si>
    <t>HAAGEN DAZS SUBSTATION</t>
  </si>
  <si>
    <t>SERRFGEN SUBSTATION</t>
  </si>
  <si>
    <t>ICEGEN SUBSTATION</t>
  </si>
  <si>
    <t>THREE M SUB</t>
  </si>
  <si>
    <t>NORTHROP SUB</t>
  </si>
  <si>
    <t>CARBONIC SUBSTATION</t>
  </si>
  <si>
    <t>VAPOR SUBSTATION</t>
  </si>
  <si>
    <t>RECOVERY SUBSTATION</t>
  </si>
  <si>
    <t>BREA SUBSTATION</t>
  </si>
  <si>
    <t>LIMESTONE</t>
  </si>
  <si>
    <t>CHIP SUB</t>
  </si>
  <si>
    <t>NORWELD SUBSTATION</t>
  </si>
  <si>
    <t>TEAM SUBSTATION</t>
  </si>
  <si>
    <t>COYGEN SUBSTATION</t>
  </si>
  <si>
    <t>ORCOGEN SUBSTATION</t>
  </si>
  <si>
    <t>SHELL WESTERN(BREA) SUB</t>
  </si>
  <si>
    <t>JOHNAIR SUBSTATION</t>
  </si>
  <si>
    <t>UNIVERSITY SUBSTATION</t>
  </si>
  <si>
    <t>COMPRESS SUB</t>
  </si>
  <si>
    <t>WESBASIN SUB</t>
  </si>
  <si>
    <t>REYNOLDS ALUM SUB</t>
  </si>
  <si>
    <t>TITAN SUBSTATION</t>
  </si>
  <si>
    <t>FINANCE SUB-METRO RGN</t>
  </si>
  <si>
    <t>DUCTILE SUBSTATION</t>
  </si>
  <si>
    <t>ORCOSAN SUB</t>
  </si>
  <si>
    <t>8829</t>
  </si>
  <si>
    <t>PROPERTY SVCS-GO1</t>
  </si>
  <si>
    <t>INFO TECH-GO2</t>
  </si>
  <si>
    <t>VENTURA CORP WH</t>
  </si>
  <si>
    <t>9135</t>
  </si>
  <si>
    <t>NORTH COAST OFFICE BUILDING (VALENCIA)</t>
  </si>
  <si>
    <t>9204</t>
  </si>
  <si>
    <t>PROP SVCS-SIERRA REGION</t>
  </si>
  <si>
    <t>ALHAMBRA COMM SITE</t>
  </si>
  <si>
    <t>9300</t>
  </si>
  <si>
    <t>METERING/METROLOGY/ADMIN</t>
  </si>
  <si>
    <t>WESTMINSTER FENWICK BLDG</t>
  </si>
  <si>
    <t>SAN JOAQUIN VALLEY GARAGE</t>
  </si>
  <si>
    <t>9651</t>
  </si>
  <si>
    <t>PALM SPRGS GARAGE</t>
  </si>
  <si>
    <t>EAST END HYDRO SHP FACLTY</t>
  </si>
  <si>
    <t>NORTHERN DIVISION</t>
  </si>
  <si>
    <t>DIVISION OFFICES &amp; MISCELLANEOUS</t>
  </si>
  <si>
    <t>NORTHERN DIV SUB</t>
  </si>
  <si>
    <t>INYO COUNTY</t>
  </si>
  <si>
    <t>7014</t>
  </si>
  <si>
    <t>SAN BERNARDINO COUNTY</t>
  </si>
  <si>
    <t>7036</t>
  </si>
  <si>
    <t>TULARE COUNTY</t>
  </si>
  <si>
    <t>7054</t>
  </si>
  <si>
    <t>IRVINE OPER CENTER</t>
  </si>
  <si>
    <t>9078</t>
  </si>
  <si>
    <t>RP&amp;AS-NRTHSHRE REC AREA</t>
  </si>
  <si>
    <t>9235</t>
  </si>
  <si>
    <t>ALHAMBRA COMBO FACILITY</t>
  </si>
  <si>
    <t>9297</t>
  </si>
  <si>
    <t>BIG CRK NO.1 GARAGE</t>
  </si>
  <si>
    <t>9621</t>
  </si>
  <si>
    <t>AGTAC FACILITY</t>
  </si>
  <si>
    <t>9786</t>
  </si>
  <si>
    <t>ISO</t>
  </si>
  <si>
    <t>Non-ISO</t>
  </si>
  <si>
    <t>ISO/Non-ISO/Mix/Trans Line</t>
  </si>
  <si>
    <t>ISO/Non-ISO/Mix</t>
  </si>
  <si>
    <t>ISO Total</t>
  </si>
  <si>
    <t>Non-ISO Total</t>
  </si>
  <si>
    <t>Mix Total</t>
  </si>
  <si>
    <t>Trans Line Total</t>
  </si>
  <si>
    <t>ISO/Non-ISO/Mix/Trans Line Summary</t>
  </si>
  <si>
    <t>ISO/Non-ISO/Mix Summary</t>
  </si>
  <si>
    <t>Working File 2012-01-31.xlsx Year End Balances - F1183:H1183</t>
  </si>
  <si>
    <t>#88 5566 Quartz Hill</t>
  </si>
  <si>
    <t>#88 5566</t>
  </si>
  <si>
    <t>5079 Wind Hub</t>
  </si>
  <si>
    <t>#92 5079</t>
  </si>
  <si>
    <t>#92 5079 Wind Hub</t>
  </si>
  <si>
    <t>ISO RELATED</t>
  </si>
  <si>
    <t>Allocation Total</t>
  </si>
  <si>
    <t>5365 Acton</t>
  </si>
  <si>
    <t>#97 8504 Ritter Ranch</t>
  </si>
  <si>
    <t>#6 5365 Acton</t>
  </si>
  <si>
    <t>115kV</t>
  </si>
  <si>
    <t>500kV</t>
  </si>
  <si>
    <t>220kV</t>
  </si>
  <si>
    <t>750kV</t>
  </si>
  <si>
    <t>33kV &amp; Below</t>
  </si>
  <si>
    <t>66kV</t>
  </si>
  <si>
    <t>55kV</t>
  </si>
  <si>
    <t>161kV</t>
  </si>
  <si>
    <t>Beginning in the 2009 CPUC GRC and the 2009 FERC rate case, the Devers-Mirage system split was assumed to be completed and all 115kV facilities transferred from ISO to non-ISO.  This assumption was consistent with the plant forecast that was utilized in the cases.  However, due to project delays the physical split of the system has not yet occurred.  It is currently forecast to be completed by July of 2012.  The faculties assumed transferred control for purposes of the Transmission Plant Study include:  220/115kV transformation at Devers and Mirage Substations, the 115kV buses at Devers and Mirage Substation, Farrell, Garnet, Eisenhower, Thornhill, Tamarisk, Santa Rosa, Indian Wells, Concho 1115kV substations, and all 115kV lines interconnecting these substations that were under ISO Operational Control.</t>
  </si>
  <si>
    <t xml:space="preserve">The 2011 Transmission Plant Study includes the ability to adjust for the Antelope-Bailey System split as part of the EKWRA project.  The EKWRA project was forecast for 2013, therefore its was assumed in the development of the Transmission Plant Study for the 2012 CPUC GRC to be completed.  The current forecast for the EKWRA project is June 2014.   As a result of the EKWRA project the existing Antelope-Bailey will be split into three radial 66kV systems -- one radiating from Bailey, one radiating from Antelope, and a third radiating from a new 500/220/66kV Windhub substation.  Post EKWRA, the Bailey-Neenach and Neenach-Antelope 66kV lines will still remain operated in parallel with the CAISO controlled 230kV lines connecting Bailey and Antelope Substations.   The following substations and interconnecting 66kV lines will be impacted by the EKWRA project: </t>
  </si>
  <si>
    <t>Substations affected EKWRA include:</t>
  </si>
  <si>
    <t>Shift from Mixed to Non-ISO</t>
  </si>
  <si>
    <t>2313 Kern River 1</t>
  </si>
  <si>
    <t>Shift from ISO to Mixed</t>
  </si>
  <si>
    <t>4.  Classification of Distribution Plant</t>
  </si>
  <si>
    <t>In the 2011 Transmission Plant Study, a more thorough review of ISO distribution plant was instituted.  At all substations, unless specific distribution voltage faculties could be identified as ISO controlled, no allocation of distribution plant was made.  An exception to this general rule is those substation locations where ISO facilities are clearly identifiable by review of the single line diagrams and ISO register, however only distribution plant is recorded at the location.  It these cases, distribution plant will be assigned or allocated consistent with the methodology for determining substation investment.</t>
  </si>
  <si>
    <t>See balance in Antelope Bailey Split BA tab</t>
  </si>
  <si>
    <t>#6 5365</t>
  </si>
  <si>
    <t>#97 8504</t>
  </si>
  <si>
    <t>Pursuant to the Commission's ruling in the Whitewater case (ER02-2189), FERC's current methodology classifies all circuit breakers that connect both ISO controlled operating buses as FERC jurisdiction (either in double breaker or breaker and half scheme).  SCE has not implemented this methodology for those circuit breakers classified in the original 1998 split of the transmission system into ISO and non-ISO.  This study reflects the current single-line diagram classification and the ISO register.</t>
  </si>
  <si>
    <t>Total Transmission &amp; Distribution</t>
  </si>
  <si>
    <t>Transformers</t>
  </si>
  <si>
    <t>High/Low Voltage Mix Summary</t>
  </si>
  <si>
    <t>No impact to the file</t>
  </si>
  <si>
    <t>Land (Substation and Line)</t>
  </si>
  <si>
    <t>Assuming EKWRA Reconfiguration HAS NOT occurred</t>
  </si>
  <si>
    <t>12-31-2011 Facilities</t>
  </si>
  <si>
    <t>Delta</t>
  </si>
  <si>
    <t>Total Plant
%</t>
  </si>
  <si>
    <t>ISO Plant
%</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</si>
</sst>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_)"/>
    <numFmt numFmtId="166" formatCode="0.0%"/>
    <numFmt numFmtId="167" formatCode="_(* #,##0.0000_);_(* \(#,##0.0000\);_(* &quot;-&quot;??_);_(@_)"/>
    <numFmt numFmtId="168" formatCode="_(* #,##0.00_);_(* \(#,##0.00\);_(* &quot;-&quot;_);_(@_)"/>
    <numFmt numFmtId="169" formatCode="_(&quot;$&quot;* #,##0.00_);_(&quot;$&quot;* \(#,##0.00\);_(&quot;$&quot;* &quot;-&quot;_);_(@_)"/>
    <numFmt numFmtId="170" formatCode="#,##0.0000_);\(#,##0.0000\)"/>
    <numFmt numFmtId="171" formatCode="#,##0.0000000_);[Red]\(#,##0.0000000\)"/>
    <numFmt numFmtId="172" formatCode="_(&quot;$&quot;* #,##0_);_(&quot;$&quot;* \(#,##0\);_(&quot;$&quot;* &quot;-&quot;??_);_(@_)"/>
    <numFmt numFmtId="173" formatCode="_(* #,##0.000_);_(* \(#,##0.000\);_(* &quot;-&quot;_);_(@_)"/>
    <numFmt numFmtId="174" formatCode="0.000%"/>
    <numFmt numFmtId="175" formatCode="_-* #,##0.00\ _D_M_-;\-* #,##0.00\ _D_M_-;_-* &quot;-&quot;??\ _D_M_-;_-@_-"/>
    <numFmt numFmtId="176" formatCode="_-* #,##0\ _D_M_-;\-* #,##0\ _D_M_-;_-* &quot;-&quot;\ _D_M_-;_-@_-"/>
    <numFmt numFmtId="177" formatCode="0.00_);\(0.00\)"/>
  </numFmts>
  <fonts count="91"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sz val="10"/>
      <name val="Arial"/>
      <family val="2"/>
    </font>
    <font>
      <b/>
      <sz val="10"/>
      <name val="Arial"/>
      <family val="2"/>
    </font>
    <font>
      <sz val="8"/>
      <name val="Arial"/>
      <family val="2"/>
    </font>
    <font>
      <sz val="10"/>
      <name val="Calibri"/>
      <family val="2"/>
    </font>
    <font>
      <sz val="12"/>
      <color indexed="8"/>
      <name val="Calibri"/>
      <family val="2"/>
    </font>
    <font>
      <sz val="12"/>
      <name val="Calibri"/>
      <family val="2"/>
    </font>
    <font>
      <b/>
      <sz val="14"/>
      <color indexed="10"/>
      <name val="Calibri"/>
      <family val="2"/>
    </font>
    <font>
      <b/>
      <sz val="12"/>
      <name val="Calibri"/>
      <family val="2"/>
    </font>
    <font>
      <b/>
      <sz val="10"/>
      <name val="Calibri"/>
      <family val="2"/>
    </font>
    <font>
      <sz val="11"/>
      <color indexed="8"/>
      <name val="Calibri"/>
      <family val="2"/>
    </font>
    <font>
      <sz val="10"/>
      <color indexed="8"/>
      <name val="Calibri"/>
      <family val="2"/>
    </font>
    <font>
      <sz val="9"/>
      <name val="Calibri"/>
      <family val="2"/>
    </font>
    <font>
      <u/>
      <sz val="10"/>
      <name val="Calibri"/>
      <family val="2"/>
    </font>
    <font>
      <sz val="10"/>
      <color indexed="10"/>
      <name val="Calibri"/>
      <family val="2"/>
    </font>
    <font>
      <b/>
      <sz val="10"/>
      <color indexed="8"/>
      <name val="Calibri"/>
      <family val="2"/>
    </font>
    <font>
      <sz val="8"/>
      <color indexed="8"/>
      <name val="Calibri"/>
      <family val="2"/>
    </font>
    <font>
      <b/>
      <sz val="14"/>
      <color indexed="8"/>
      <name val="Calibri"/>
      <family val="2"/>
    </font>
    <font>
      <b/>
      <sz val="14"/>
      <name val="Calibri"/>
      <family val="2"/>
    </font>
    <font>
      <i/>
      <sz val="10"/>
      <name val="Calibri"/>
      <family val="2"/>
    </font>
    <font>
      <sz val="8"/>
      <name val="Times New Roman"/>
      <family val="1"/>
    </font>
    <font>
      <b/>
      <u/>
      <sz val="12"/>
      <name val="Times New Roman"/>
      <family val="1"/>
    </font>
    <font>
      <b/>
      <u/>
      <sz val="8"/>
      <name val="Times New Roman"/>
      <family val="1"/>
    </font>
    <font>
      <sz val="8"/>
      <name val="Arial"/>
      <family val="2"/>
    </font>
    <font>
      <sz val="8"/>
      <color indexed="8"/>
      <name val="Times New Roman"/>
      <family val="1"/>
    </font>
    <font>
      <b/>
      <sz val="8"/>
      <name val="Times New Roman"/>
      <family val="1"/>
    </font>
    <font>
      <b/>
      <sz val="8"/>
      <color indexed="8"/>
      <name val="Times New Roman"/>
      <family val="1"/>
    </font>
    <font>
      <sz val="8"/>
      <color indexed="12"/>
      <name val="Times New Roman"/>
      <family val="1"/>
    </font>
    <font>
      <sz val="8"/>
      <color indexed="10"/>
      <name val="Times New Roman"/>
      <family val="1"/>
    </font>
    <font>
      <b/>
      <sz val="8"/>
      <color indexed="10"/>
      <name val="Times New Roman"/>
      <family val="1"/>
    </font>
    <font>
      <sz val="12"/>
      <name val="Times New Roman"/>
      <family val="1"/>
    </font>
    <font>
      <sz val="7"/>
      <name val="Times New Roman"/>
      <family val="1"/>
    </font>
    <font>
      <b/>
      <sz val="12"/>
      <name val="Times New Roman"/>
      <family val="1"/>
    </font>
    <font>
      <sz val="12"/>
      <color indexed="8"/>
      <name val="Times New Roman"/>
      <family val="1"/>
    </font>
    <font>
      <b/>
      <u/>
      <sz val="12"/>
      <color indexed="12"/>
      <name val="Times New Roman"/>
      <family val="1"/>
    </font>
    <font>
      <b/>
      <u/>
      <sz val="14"/>
      <name val="Times New Roman"/>
      <family val="1"/>
    </font>
    <font>
      <b/>
      <sz val="16"/>
      <name val="Arial"/>
      <family val="2"/>
    </font>
    <font>
      <i/>
      <sz val="8"/>
      <name val="Times New Roman"/>
      <family val="1"/>
    </font>
    <font>
      <sz val="14"/>
      <name val="Calibri"/>
      <family val="2"/>
    </font>
    <font>
      <sz val="14"/>
      <color indexed="8"/>
      <name val="Calibri"/>
      <family val="2"/>
    </font>
    <font>
      <strike/>
      <sz val="11"/>
      <color indexed="8"/>
      <name val="Calibri"/>
      <family val="2"/>
    </font>
    <font>
      <b/>
      <sz val="12"/>
      <color indexed="8"/>
      <name val="Calibri"/>
      <family val="2"/>
    </font>
    <font>
      <sz val="11"/>
      <color theme="1"/>
      <name val="Calibri"/>
      <family val="2"/>
      <scheme val="minor"/>
    </font>
    <font>
      <sz val="10"/>
      <color rgb="FFFF0000"/>
      <name val="Calibri"/>
      <family val="2"/>
    </font>
    <font>
      <sz val="8"/>
      <color rgb="FFFF0000"/>
      <name val="Times New Roman"/>
      <family val="1"/>
    </font>
    <font>
      <sz val="11"/>
      <color theme="0"/>
      <name val="Calibri"/>
      <family val="2"/>
    </font>
    <font>
      <sz val="10"/>
      <color theme="0"/>
      <name val="Arial"/>
      <family val="2"/>
    </font>
    <font>
      <sz val="10"/>
      <color indexed="8"/>
      <name val="Arial"/>
      <family val="2"/>
    </font>
    <font>
      <sz val="10"/>
      <color indexed="9"/>
      <name val="Arial"/>
      <family val="2"/>
    </font>
    <font>
      <sz val="11"/>
      <color indexed="16"/>
      <name val="Calibri"/>
      <family val="2"/>
    </font>
    <font>
      <b/>
      <sz val="11"/>
      <color indexed="53"/>
      <name val="Calibri"/>
      <family val="2"/>
    </font>
    <font>
      <i/>
      <sz val="10"/>
      <color indexed="23"/>
      <name val="Arial"/>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b/>
      <sz val="10"/>
      <color indexed="8"/>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1"/>
      <color theme="1"/>
      <name val="Times New Roman"/>
      <family val="2"/>
    </font>
    <font>
      <sz val="11"/>
      <name val="Calibri"/>
      <family val="2"/>
    </font>
    <font>
      <sz val="10"/>
      <name val="Arial"/>
      <family val="2"/>
    </font>
    <font>
      <sz val="10"/>
      <name val="MS Sans Serif"/>
      <family val="2"/>
    </font>
  </fonts>
  <fills count="5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64"/>
      </patternFill>
    </fill>
    <fill>
      <patternFill patternType="solid">
        <fgColor indexed="40"/>
      </patternFill>
    </fill>
    <fill>
      <patternFill patternType="solid">
        <fgColor indexed="9"/>
      </patternFill>
    </fill>
    <fill>
      <patternFill patternType="solid">
        <fgColor indexed="54"/>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solid">
        <fgColor indexed="26"/>
        <bgColor indexed="26"/>
      </patternFill>
    </fill>
    <fill>
      <patternFill patternType="solid">
        <fgColor indexed="47"/>
        <bgColor indexed="47"/>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15"/>
      </patternFill>
    </fill>
  </fills>
  <borders count="7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medium">
        <color indexed="8"/>
      </left>
      <right style="medium">
        <color indexed="8"/>
      </right>
      <top/>
      <bottom style="medium">
        <color indexed="8"/>
      </bottom>
      <diagonal/>
    </border>
    <border>
      <left style="medium">
        <color indexed="8"/>
      </left>
      <right/>
      <top/>
      <bottom/>
      <diagonal/>
    </border>
    <border>
      <left style="medium">
        <color indexed="64"/>
      </left>
      <right style="hair">
        <color indexed="22"/>
      </right>
      <top style="medium">
        <color indexed="8"/>
      </top>
      <bottom/>
      <diagonal/>
    </border>
    <border>
      <left style="hair">
        <color indexed="22"/>
      </left>
      <right style="hair">
        <color indexed="22"/>
      </right>
      <top style="medium">
        <color indexed="8"/>
      </top>
      <bottom/>
      <diagonal/>
    </border>
    <border>
      <left style="hair">
        <color indexed="22"/>
      </left>
      <right style="medium">
        <color indexed="64"/>
      </right>
      <top style="medium">
        <color indexed="8"/>
      </top>
      <bottom/>
      <diagonal/>
    </border>
    <border>
      <left style="medium">
        <color indexed="64"/>
      </left>
      <right style="hair">
        <color indexed="22"/>
      </right>
      <top/>
      <bottom style="medium">
        <color indexed="64"/>
      </bottom>
      <diagonal/>
    </border>
    <border>
      <left style="hair">
        <color indexed="22"/>
      </left>
      <right style="hair">
        <color indexed="22"/>
      </right>
      <top/>
      <bottom style="medium">
        <color indexed="64"/>
      </bottom>
      <diagonal/>
    </border>
    <border>
      <left style="hair">
        <color indexed="22"/>
      </left>
      <right style="medium">
        <color indexed="64"/>
      </right>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hair">
        <color indexed="22"/>
      </left>
      <right/>
      <top style="medium">
        <color indexed="8"/>
      </top>
      <bottom/>
      <diagonal/>
    </border>
    <border>
      <left style="hair">
        <color indexed="22"/>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right style="hair">
        <color indexed="22"/>
      </right>
      <top style="medium">
        <color indexed="64"/>
      </top>
      <bottom style="thin">
        <color indexed="64"/>
      </bottom>
      <diagonal/>
    </border>
    <border>
      <left style="hair">
        <color indexed="22"/>
      </left>
      <right/>
      <top style="medium">
        <color indexed="64"/>
      </top>
      <bottom style="thin">
        <color indexed="64"/>
      </bottom>
      <diagonal/>
    </border>
    <border>
      <left style="hair">
        <color indexed="22"/>
      </left>
      <right style="hair">
        <color indexed="22"/>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8"/>
      </bottom>
      <diagonal/>
    </border>
    <border>
      <left/>
      <right/>
      <top style="thin">
        <color indexed="64"/>
      </top>
      <bottom/>
      <diagonal/>
    </border>
    <border>
      <left/>
      <right/>
      <top style="thin">
        <color indexed="64"/>
      </top>
      <bottom style="thin">
        <color indexed="64"/>
      </bottom>
      <diagonal/>
    </border>
    <border>
      <left/>
      <right/>
      <top/>
      <bottom style="double">
        <color indexed="8"/>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double">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8"/>
      </left>
      <right style="medium">
        <color indexed="8"/>
      </right>
      <top/>
      <bottom/>
      <diagonal/>
    </border>
    <border>
      <left style="medium">
        <color indexed="8"/>
      </left>
      <right/>
      <top/>
      <bottom style="medium">
        <color indexed="8"/>
      </bottom>
      <diagonal/>
    </border>
    <border>
      <left style="medium">
        <color indexed="64"/>
      </left>
      <right style="medium">
        <color indexed="8"/>
      </right>
      <top style="medium">
        <color indexed="64"/>
      </top>
      <bottom/>
      <diagonal/>
    </border>
    <border>
      <left style="medium">
        <color indexed="8"/>
      </left>
      <right/>
      <top style="medium">
        <color indexed="64"/>
      </top>
      <bottom/>
      <diagonal/>
    </border>
    <border>
      <left style="medium">
        <color indexed="8"/>
      </left>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8"/>
      </bottom>
      <diagonal/>
    </border>
    <border>
      <left/>
      <right style="medium">
        <color indexed="8"/>
      </right>
      <top/>
      <bottom/>
      <diagonal/>
    </border>
    <border>
      <left style="medium">
        <color indexed="8"/>
      </left>
      <right style="medium">
        <color indexed="8"/>
      </right>
      <top style="medium">
        <color indexed="64"/>
      </top>
      <bottom/>
      <diagonal/>
    </border>
    <border>
      <left style="medium">
        <color indexed="64"/>
      </left>
      <right/>
      <top/>
      <bottom/>
      <diagonal/>
    </border>
    <border>
      <left/>
      <right style="medium">
        <color indexed="8"/>
      </right>
      <top style="medium">
        <color indexed="64"/>
      </top>
      <bottom/>
      <diagonal/>
    </border>
    <border>
      <left/>
      <right style="medium">
        <color indexed="8"/>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48"/>
      </bottom>
      <diagonal/>
    </border>
    <border>
      <left/>
      <right/>
      <top/>
      <bottom style="medium">
        <color indexed="24"/>
      </bottom>
      <diagonal/>
    </border>
    <border>
      <left/>
      <right/>
      <top/>
      <bottom style="double">
        <color indexed="5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double">
        <color indexed="48"/>
      </bottom>
      <diagonal/>
    </border>
    <border>
      <left style="medium">
        <color indexed="64"/>
      </left>
      <right/>
      <top style="medium">
        <color indexed="64"/>
      </top>
      <bottom style="medium">
        <color indexed="8"/>
      </bottom>
      <diagonal/>
    </border>
  </borders>
  <cellStyleXfs count="810">
    <xf numFmtId="0" fontId="0" fillId="0" borderId="0"/>
    <xf numFmtId="0" fontId="5" fillId="2" borderId="0" applyNumberFormat="0" applyBorder="0" applyAlignment="0" applyProtection="0"/>
    <xf numFmtId="0" fontId="33" fillId="2" borderId="0" applyNumberFormat="0" applyBorder="0" applyAlignment="0" applyProtection="0"/>
    <xf numFmtId="0" fontId="33" fillId="2" borderId="0" applyNumberFormat="0" applyBorder="0" applyAlignment="0" applyProtection="0"/>
    <xf numFmtId="0" fontId="33" fillId="2" borderId="0" applyNumberFormat="0" applyBorder="0" applyAlignment="0" applyProtection="0"/>
    <xf numFmtId="0" fontId="33" fillId="2" borderId="0" applyNumberFormat="0" applyBorder="0" applyAlignment="0" applyProtection="0"/>
    <xf numFmtId="0" fontId="5" fillId="3" borderId="0" applyNumberFormat="0" applyBorder="0" applyAlignment="0" applyProtection="0"/>
    <xf numFmtId="0" fontId="33" fillId="3" borderId="0" applyNumberFormat="0" applyBorder="0" applyAlignment="0" applyProtection="0"/>
    <xf numFmtId="0" fontId="33" fillId="3" borderId="0" applyNumberFormat="0" applyBorder="0" applyAlignment="0" applyProtection="0"/>
    <xf numFmtId="0" fontId="33" fillId="3" borderId="0" applyNumberFormat="0" applyBorder="0" applyAlignment="0" applyProtection="0"/>
    <xf numFmtId="0" fontId="33" fillId="3" borderId="0" applyNumberFormat="0" applyBorder="0" applyAlignment="0" applyProtection="0"/>
    <xf numFmtId="0" fontId="5" fillId="4"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5"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5" fillId="6"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5" fillId="7"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5"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5" fillId="9"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5"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5"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5"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5" fillId="11"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9" fillId="21" borderId="2" applyNumberFormat="0" applyAlignment="0" applyProtection="0"/>
    <xf numFmtId="0" fontId="9" fillId="21" borderId="2" applyNumberFormat="0" applyAlignment="0" applyProtection="0"/>
    <xf numFmtId="0" fontId="9" fillId="21" borderId="2" applyNumberFormat="0" applyAlignment="0" applyProtection="0"/>
    <xf numFmtId="0" fontId="9" fillId="21" borderId="2" applyNumberFormat="0" applyAlignment="0" applyProtection="0"/>
    <xf numFmtId="43" fontId="5" fillId="0" borderId="0" applyFont="0" applyFill="0" applyBorder="0" applyAlignment="0" applyProtection="0"/>
    <xf numFmtId="43" fontId="24" fillId="0" borderId="0" applyFont="0" applyFill="0" applyBorder="0" applyAlignment="0" applyProtection="0"/>
    <xf numFmtId="43" fontId="18" fillId="0" borderId="0" applyFont="0" applyFill="0" applyBorder="0" applyAlignment="0" applyProtection="0"/>
    <xf numFmtId="43" fontId="46" fillId="0" borderId="0" applyFont="0" applyFill="0" applyBorder="0" applyAlignment="0" applyProtection="0"/>
    <xf numFmtId="43" fontId="2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65"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4" fontId="5"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0" borderId="3" applyNumberFormat="0" applyFill="0" applyAlignment="0" applyProtection="0"/>
    <xf numFmtId="0" fontId="12" fillId="0" borderId="3" applyNumberFormat="0" applyFill="0" applyAlignment="0" applyProtection="0"/>
    <xf numFmtId="0" fontId="12" fillId="0" borderId="3"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24" fillId="0" borderId="0"/>
    <xf numFmtId="0" fontId="18" fillId="0" borderId="0"/>
    <xf numFmtId="0" fontId="18" fillId="0" borderId="0"/>
    <xf numFmtId="0" fontId="18" fillId="0" borderId="0"/>
    <xf numFmtId="0" fontId="46" fillId="0" borderId="0"/>
    <xf numFmtId="0" fontId="26" fillId="0" borderId="0"/>
    <xf numFmtId="0" fontId="33" fillId="0" borderId="0"/>
    <xf numFmtId="0" fontId="65" fillId="0" borderId="0"/>
    <xf numFmtId="0" fontId="33" fillId="0" borderId="0"/>
    <xf numFmtId="0" fontId="33" fillId="0" borderId="0"/>
    <xf numFmtId="0" fontId="24" fillId="0" borderId="0"/>
    <xf numFmtId="0" fontId="24" fillId="0" borderId="0"/>
    <xf numFmtId="0" fontId="18" fillId="0" borderId="0"/>
    <xf numFmtId="0" fontId="18" fillId="0" borderId="0"/>
    <xf numFmtId="0" fontId="18" fillId="0" borderId="0"/>
    <xf numFmtId="0" fontId="43" fillId="0" borderId="0"/>
    <xf numFmtId="0" fontId="18" fillId="0" borderId="0"/>
    <xf numFmtId="0" fontId="5" fillId="23" borderId="7" applyNumberFormat="0" applyFont="0" applyAlignment="0" applyProtection="0"/>
    <xf numFmtId="0" fontId="33" fillId="23" borderId="7" applyNumberFormat="0" applyFont="0" applyAlignment="0" applyProtection="0"/>
    <xf numFmtId="0" fontId="33" fillId="23" borderId="7" applyNumberFormat="0" applyFont="0" applyAlignment="0" applyProtection="0"/>
    <xf numFmtId="0" fontId="33" fillId="23" borderId="7" applyNumberFormat="0" applyFont="0" applyAlignment="0" applyProtection="0"/>
    <xf numFmtId="0" fontId="33" fillId="23" borderId="7" applyNumberFormat="0" applyFon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9" fontId="5" fillId="0" borderId="0" applyFont="0" applyFill="0" applyBorder="0" applyAlignment="0" applyProtection="0"/>
    <xf numFmtId="9" fontId="18" fillId="0" borderId="0" applyFont="0" applyFill="0" applyBorder="0" applyAlignment="0" applyProtection="0"/>
    <xf numFmtId="9" fontId="24" fillId="0" borderId="0" applyFont="0" applyFill="0" applyBorder="0" applyAlignment="0" applyProtection="0"/>
    <xf numFmtId="9" fontId="18"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4" fillId="0" borderId="0"/>
    <xf numFmtId="0" fontId="5" fillId="0" borderId="0"/>
    <xf numFmtId="0" fontId="5" fillId="0" borderId="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44" fontId="26" fillId="0" borderId="0" applyFont="0" applyFill="0" applyBorder="0" applyAlignment="0" applyProtection="0"/>
    <xf numFmtId="9" fontId="26" fillId="0" borderId="0" applyFont="0" applyFill="0" applyBorder="0" applyAlignment="0" applyProtection="0"/>
    <xf numFmtId="0" fontId="4" fillId="0" borderId="0"/>
    <xf numFmtId="0" fontId="18" fillId="0" borderId="0"/>
    <xf numFmtId="0" fontId="26" fillId="0" borderId="0"/>
    <xf numFmtId="0" fontId="4" fillId="0" borderId="0"/>
    <xf numFmtId="0" fontId="18" fillId="0" borderId="0"/>
    <xf numFmtId="0" fontId="5" fillId="0" borderId="0"/>
    <xf numFmtId="0" fontId="4" fillId="0" borderId="0"/>
    <xf numFmtId="41" fontId="4" fillId="0" borderId="0" applyFont="0" applyFill="0" applyBorder="0" applyAlignment="0" applyProtection="0"/>
    <xf numFmtId="0" fontId="70" fillId="26" borderId="0" applyNumberFormat="0" applyBorder="0" applyAlignment="0" applyProtection="0"/>
    <xf numFmtId="0" fontId="70" fillId="9" borderId="0" applyNumberFormat="0" applyBorder="0" applyAlignment="0" applyProtection="0"/>
    <xf numFmtId="0" fontId="70" fillId="23" borderId="0" applyNumberFormat="0" applyBorder="0" applyAlignment="0" applyProtection="0"/>
    <xf numFmtId="0" fontId="70" fillId="27" borderId="0" applyNumberFormat="0" applyBorder="0" applyAlignment="0" applyProtection="0"/>
    <xf numFmtId="0" fontId="70" fillId="8" borderId="0" applyNumberFormat="0" applyBorder="0" applyAlignment="0" applyProtection="0"/>
    <xf numFmtId="0" fontId="70" fillId="3" borderId="0" applyNumberFormat="0" applyBorder="0" applyAlignment="0" applyProtection="0"/>
    <xf numFmtId="0" fontId="70" fillId="28" borderId="0" applyNumberFormat="0" applyBorder="0" applyAlignment="0" applyProtection="0"/>
    <xf numFmtId="0" fontId="70" fillId="9" borderId="0" applyNumberFormat="0" applyBorder="0" applyAlignment="0" applyProtection="0"/>
    <xf numFmtId="0" fontId="70" fillId="18" borderId="0" applyNumberFormat="0" applyBorder="0" applyAlignment="0" applyProtection="0"/>
    <xf numFmtId="0" fontId="70" fillId="20" borderId="0" applyNumberFormat="0" applyBorder="0" applyAlignment="0" applyProtection="0"/>
    <xf numFmtId="0" fontId="70" fillId="28" borderId="0" applyNumberFormat="0" applyBorder="0" applyAlignment="0" applyProtection="0"/>
    <xf numFmtId="0" fontId="70" fillId="7" borderId="0" applyNumberFormat="0" applyBorder="0" applyAlignment="0" applyProtection="0"/>
    <xf numFmtId="0" fontId="71" fillId="28" borderId="0" applyNumberFormat="0" applyBorder="0" applyAlignment="0" applyProtection="0"/>
    <xf numFmtId="0" fontId="71" fillId="9" borderId="0" applyNumberFormat="0" applyBorder="0" applyAlignment="0" applyProtection="0"/>
    <xf numFmtId="0" fontId="71" fillId="18" borderId="0" applyNumberFormat="0" applyBorder="0" applyAlignment="0" applyProtection="0"/>
    <xf numFmtId="0" fontId="71" fillId="20" borderId="0" applyNumberFormat="0" applyBorder="0" applyAlignment="0" applyProtection="0"/>
    <xf numFmtId="0" fontId="71" fillId="28" borderId="0" applyNumberFormat="0" applyBorder="0" applyAlignment="0" applyProtection="0"/>
    <xf numFmtId="0" fontId="71" fillId="7" borderId="0" applyNumberFormat="0" applyBorder="0" applyAlignment="0" applyProtection="0"/>
    <xf numFmtId="0" fontId="6"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6" fillId="39" borderId="0" applyNumberFormat="0" applyBorder="0" applyAlignment="0" applyProtection="0"/>
    <xf numFmtId="0" fontId="6" fillId="41"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6" fillId="31" borderId="0" applyNumberFormat="0" applyBorder="0" applyAlignment="0" applyProtection="0"/>
    <xf numFmtId="0" fontId="6" fillId="42" borderId="0" applyNumberFormat="0" applyBorder="0" applyAlignment="0" applyProtection="0"/>
    <xf numFmtId="0" fontId="5" fillId="43" borderId="0" applyNumberFormat="0" applyBorder="0" applyAlignment="0" applyProtection="0"/>
    <xf numFmtId="0" fontId="5" fillId="35" borderId="0" applyNumberFormat="0" applyBorder="0" applyAlignment="0" applyProtection="0"/>
    <xf numFmtId="0" fontId="6" fillId="44" borderId="0" applyNumberFormat="0" applyBorder="0" applyAlignment="0" applyProtection="0"/>
    <xf numFmtId="0" fontId="72" fillId="35" borderId="0" applyNumberFormat="0" applyBorder="0" applyAlignment="0" applyProtection="0"/>
    <xf numFmtId="0" fontId="73" fillId="45" borderId="1" applyNumberFormat="0" applyAlignment="0" applyProtection="0"/>
    <xf numFmtId="0" fontId="9" fillId="36" borderId="2" applyNumberFormat="0" applyAlignment="0" applyProtection="0"/>
    <xf numFmtId="175" fontId="18" fillId="0" borderId="0" applyFont="0" applyFill="0" applyBorder="0" applyAlignment="0" applyProtection="0"/>
    <xf numFmtId="176" fontId="18" fillId="0" borderId="0" applyFont="0" applyFill="0" applyBorder="0" applyAlignment="0" applyProtection="0"/>
    <xf numFmtId="0" fontId="21" fillId="46" borderId="0" applyNumberFormat="0" applyBorder="0" applyAlignment="0" applyProtection="0"/>
    <xf numFmtId="0" fontId="21" fillId="47" borderId="0" applyNumberFormat="0" applyBorder="0" applyAlignment="0" applyProtection="0"/>
    <xf numFmtId="0" fontId="21" fillId="48" borderId="0" applyNumberFormat="0" applyBorder="0" applyAlignment="0" applyProtection="0"/>
    <xf numFmtId="0" fontId="74" fillId="0" borderId="0" applyNumberFormat="0" applyFill="0" applyBorder="0" applyAlignment="0" applyProtection="0"/>
    <xf numFmtId="0" fontId="11" fillId="49" borderId="0" applyNumberFormat="0" applyBorder="0" applyAlignment="0" applyProtection="0"/>
    <xf numFmtId="0" fontId="75" fillId="0" borderId="67" applyNumberFormat="0" applyFill="0" applyAlignment="0" applyProtection="0"/>
    <xf numFmtId="0" fontId="76" fillId="0" borderId="4" applyNumberFormat="0" applyFill="0" applyAlignment="0" applyProtection="0"/>
    <xf numFmtId="0" fontId="77" fillId="0" borderId="68" applyNumberFormat="0" applyFill="0" applyAlignment="0" applyProtection="0"/>
    <xf numFmtId="0" fontId="77" fillId="0" borderId="0" applyNumberFormat="0" applyFill="0" applyBorder="0" applyAlignment="0" applyProtection="0"/>
    <xf numFmtId="0" fontId="78" fillId="44" borderId="1" applyNumberFormat="0" applyAlignment="0" applyProtection="0"/>
    <xf numFmtId="0" fontId="79" fillId="0" borderId="69" applyNumberFormat="0" applyFill="0" applyAlignment="0" applyProtection="0"/>
    <xf numFmtId="0" fontId="17" fillId="44" borderId="0" applyNumberFormat="0" applyBorder="0" applyAlignment="0" applyProtection="0"/>
    <xf numFmtId="0" fontId="18" fillId="43" borderId="7" applyNumberFormat="0" applyFont="0" applyAlignment="0" applyProtection="0"/>
    <xf numFmtId="0" fontId="19" fillId="45" borderId="8" applyNumberFormat="0" applyAlignment="0" applyProtection="0"/>
    <xf numFmtId="4" fontId="80" fillId="22" borderId="70" applyNumberFormat="0" applyProtection="0">
      <alignment vertical="center"/>
    </xf>
    <xf numFmtId="4" fontId="81" fillId="22" borderId="70" applyNumberFormat="0" applyProtection="0">
      <alignment vertical="center"/>
    </xf>
    <xf numFmtId="4" fontId="80" fillId="22" borderId="70" applyNumberFormat="0" applyProtection="0">
      <alignment horizontal="left" vertical="center" indent="1"/>
    </xf>
    <xf numFmtId="0" fontId="80" fillId="22" borderId="70" applyNumberFormat="0" applyProtection="0">
      <alignment horizontal="left" vertical="top" indent="1"/>
    </xf>
    <xf numFmtId="4" fontId="80" fillId="26" borderId="0" applyNumberFormat="0" applyProtection="0">
      <alignment horizontal="left" vertical="center" indent="1"/>
    </xf>
    <xf numFmtId="4" fontId="70" fillId="3" borderId="70" applyNumberFormat="0" applyProtection="0">
      <alignment horizontal="right" vertical="center"/>
    </xf>
    <xf numFmtId="4" fontId="70" fillId="9" borderId="70" applyNumberFormat="0" applyProtection="0">
      <alignment horizontal="right" vertical="center"/>
    </xf>
    <xf numFmtId="4" fontId="70" fillId="17" borderId="70" applyNumberFormat="0" applyProtection="0">
      <alignment horizontal="right" vertical="center"/>
    </xf>
    <xf numFmtId="4" fontId="70" fillId="11" borderId="70" applyNumberFormat="0" applyProtection="0">
      <alignment horizontal="right" vertical="center"/>
    </xf>
    <xf numFmtId="4" fontId="70" fillId="15" borderId="70" applyNumberFormat="0" applyProtection="0">
      <alignment horizontal="right" vertical="center"/>
    </xf>
    <xf numFmtId="4" fontId="70" fillId="19" borderId="70" applyNumberFormat="0" applyProtection="0">
      <alignment horizontal="right" vertical="center"/>
    </xf>
    <xf numFmtId="4" fontId="70" fillId="18" borderId="70" applyNumberFormat="0" applyProtection="0">
      <alignment horizontal="right" vertical="center"/>
    </xf>
    <xf numFmtId="4" fontId="70" fillId="50" borderId="70" applyNumberFormat="0" applyProtection="0">
      <alignment horizontal="right" vertical="center"/>
    </xf>
    <xf numFmtId="4" fontId="70" fillId="10" borderId="70" applyNumberFormat="0" applyProtection="0">
      <alignment horizontal="right" vertical="center"/>
    </xf>
    <xf numFmtId="4" fontId="80" fillId="51" borderId="71" applyNumberFormat="0" applyProtection="0">
      <alignment horizontal="left" vertical="center" indent="1"/>
    </xf>
    <xf numFmtId="4" fontId="70" fillId="52" borderId="0" applyNumberFormat="0" applyProtection="0">
      <alignment horizontal="left" vertical="center" indent="1"/>
    </xf>
    <xf numFmtId="4" fontId="82" fillId="28" borderId="0" applyNumberFormat="0" applyProtection="0">
      <alignment horizontal="left" vertical="center" indent="1"/>
    </xf>
    <xf numFmtId="4" fontId="70" fillId="26" borderId="70" applyNumberFormat="0" applyProtection="0">
      <alignment horizontal="right" vertical="center"/>
    </xf>
    <xf numFmtId="4" fontId="70" fillId="52" borderId="0" applyNumberFormat="0" applyProtection="0">
      <alignment horizontal="left" vertical="center" indent="1"/>
    </xf>
    <xf numFmtId="4" fontId="70" fillId="26" borderId="0" applyNumberFormat="0" applyProtection="0">
      <alignment horizontal="left" vertical="center" indent="1"/>
    </xf>
    <xf numFmtId="0" fontId="18" fillId="28" borderId="70" applyNumberFormat="0" applyProtection="0">
      <alignment horizontal="left" vertical="center" indent="1"/>
    </xf>
    <xf numFmtId="0" fontId="18" fillId="28" borderId="70" applyNumberFormat="0" applyProtection="0">
      <alignment horizontal="left" vertical="top" indent="1"/>
    </xf>
    <xf numFmtId="0" fontId="18" fillId="26" borderId="70" applyNumberFormat="0" applyProtection="0">
      <alignment horizontal="left" vertical="center" indent="1"/>
    </xf>
    <xf numFmtId="0" fontId="18" fillId="26" borderId="70" applyNumberFormat="0" applyProtection="0">
      <alignment horizontal="left" vertical="top" indent="1"/>
    </xf>
    <xf numFmtId="0" fontId="18" fillId="8" borderId="70" applyNumberFormat="0" applyProtection="0">
      <alignment horizontal="left" vertical="center" indent="1"/>
    </xf>
    <xf numFmtId="0" fontId="18" fillId="8" borderId="70" applyNumberFormat="0" applyProtection="0">
      <alignment horizontal="left" vertical="top" indent="1"/>
    </xf>
    <xf numFmtId="0" fontId="18" fillId="52" borderId="70" applyNumberFormat="0" applyProtection="0">
      <alignment horizontal="left" vertical="center" indent="1"/>
    </xf>
    <xf numFmtId="0" fontId="18" fillId="52" borderId="70" applyNumberFormat="0" applyProtection="0">
      <alignment horizontal="left" vertical="top" indent="1"/>
    </xf>
    <xf numFmtId="0" fontId="18" fillId="27" borderId="20" applyNumberFormat="0">
      <protection locked="0"/>
    </xf>
    <xf numFmtId="4" fontId="70" fillId="23" borderId="70" applyNumberFormat="0" applyProtection="0">
      <alignment vertical="center"/>
    </xf>
    <xf numFmtId="4" fontId="83" fillId="23" borderId="70" applyNumberFormat="0" applyProtection="0">
      <alignment vertical="center"/>
    </xf>
    <xf numFmtId="4" fontId="70" fillId="23" borderId="70" applyNumberFormat="0" applyProtection="0">
      <alignment horizontal="left" vertical="center" indent="1"/>
    </xf>
    <xf numFmtId="0" fontId="70" fillId="23" borderId="70" applyNumberFormat="0" applyProtection="0">
      <alignment horizontal="left" vertical="top" indent="1"/>
    </xf>
    <xf numFmtId="4" fontId="70" fillId="52" borderId="70" applyNumberFormat="0" applyProtection="0">
      <alignment horizontal="right" vertical="center"/>
    </xf>
    <xf numFmtId="4" fontId="83" fillId="52" borderId="70" applyNumberFormat="0" applyProtection="0">
      <alignment horizontal="right" vertical="center"/>
    </xf>
    <xf numFmtId="4" fontId="70" fillId="26" borderId="70" applyNumberFormat="0" applyProtection="0">
      <alignment horizontal="left" vertical="center" indent="1"/>
    </xf>
    <xf numFmtId="0" fontId="70" fillId="26" borderId="70" applyNumberFormat="0" applyProtection="0">
      <alignment horizontal="left" vertical="top" indent="1"/>
    </xf>
    <xf numFmtId="4" fontId="84" fillId="53" borderId="0" applyNumberFormat="0" applyProtection="0">
      <alignment horizontal="left" vertical="center" indent="1"/>
    </xf>
    <xf numFmtId="4" fontId="85" fillId="52" borderId="70" applyNumberFormat="0" applyProtection="0">
      <alignment horizontal="right" vertical="center"/>
    </xf>
    <xf numFmtId="0" fontId="86" fillId="0" borderId="0" applyNumberFormat="0" applyFill="0" applyBorder="0" applyAlignment="0" applyProtection="0"/>
    <xf numFmtId="0" fontId="86" fillId="0" borderId="0" applyNumberFormat="0" applyFill="0" applyBorder="0" applyAlignment="0" applyProtection="0"/>
    <xf numFmtId="0" fontId="21" fillId="0" borderId="72" applyNumberFormat="0" applyFill="0" applyAlignment="0" applyProtection="0"/>
    <xf numFmtId="175" fontId="18" fillId="0" borderId="0" applyFont="0" applyFill="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36"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33" borderId="0" applyNumberFormat="0" applyBorder="0" applyAlignment="0" applyProtection="0"/>
    <xf numFmtId="0" fontId="6" fillId="40"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36"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29" borderId="0" applyNumberFormat="0" applyBorder="0" applyAlignment="0" applyProtection="0"/>
    <xf numFmtId="0" fontId="6" fillId="41" borderId="0" applyNumberFormat="0" applyBorder="0" applyAlignment="0" applyProtection="0"/>
    <xf numFmtId="0" fontId="6" fillId="36" borderId="0" applyNumberFormat="0" applyBorder="0" applyAlignment="0" applyProtection="0"/>
    <xf numFmtId="0" fontId="6" fillId="33" borderId="0" applyNumberFormat="0" applyBorder="0" applyAlignment="0" applyProtection="0"/>
    <xf numFmtId="0" fontId="6" fillId="40"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175" fontId="18" fillId="0" borderId="0" applyFont="0" applyFill="0" applyBorder="0" applyAlignment="0" applyProtection="0"/>
    <xf numFmtId="0" fontId="6" fillId="42" borderId="0" applyNumberFormat="0" applyBorder="0" applyAlignment="0" applyProtection="0"/>
    <xf numFmtId="175" fontId="18" fillId="0" borderId="0" applyFont="0" applyFill="0" applyBorder="0" applyAlignment="0" applyProtection="0"/>
    <xf numFmtId="175" fontId="18" fillId="0" borderId="0" applyFont="0" applyFill="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36" borderId="0" applyNumberFormat="0" applyBorder="0" applyAlignment="0" applyProtection="0"/>
    <xf numFmtId="0" fontId="6" fillId="40" borderId="0" applyNumberFormat="0" applyBorder="0" applyAlignment="0" applyProtection="0"/>
    <xf numFmtId="0" fontId="6" fillId="33" borderId="0" applyNumberFormat="0" applyBorder="0" applyAlignment="0" applyProtection="0"/>
    <xf numFmtId="0" fontId="6" fillId="36" borderId="0" applyNumberFormat="0" applyBorder="0" applyAlignment="0" applyProtection="0"/>
    <xf numFmtId="0" fontId="6" fillId="40" borderId="0" applyNumberFormat="0" applyBorder="0" applyAlignment="0" applyProtection="0"/>
    <xf numFmtId="0" fontId="6" fillId="29" borderId="0" applyNumberFormat="0" applyBorder="0" applyAlignment="0" applyProtection="0"/>
    <xf numFmtId="0" fontId="6" fillId="33"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29"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175" fontId="18" fillId="0" borderId="0" applyFont="0" applyFill="0" applyBorder="0" applyAlignment="0" applyProtection="0"/>
    <xf numFmtId="0" fontId="6" fillId="36" borderId="0" applyNumberFormat="0" applyBorder="0" applyAlignment="0" applyProtection="0"/>
    <xf numFmtId="0" fontId="6" fillId="29" borderId="0" applyNumberFormat="0" applyBorder="0" applyAlignment="0" applyProtection="0"/>
    <xf numFmtId="175" fontId="18" fillId="0" borderId="0" applyFont="0" applyFill="0" applyBorder="0" applyAlignment="0" applyProtection="0"/>
    <xf numFmtId="175" fontId="18" fillId="0" borderId="0" applyFont="0" applyFill="0" applyBorder="0" applyAlignment="0" applyProtection="0"/>
    <xf numFmtId="0" fontId="6" fillId="40" borderId="0" applyNumberFormat="0" applyBorder="0" applyAlignment="0" applyProtection="0"/>
    <xf numFmtId="0" fontId="6" fillId="42" borderId="0" applyNumberFormat="0" applyBorder="0" applyAlignment="0" applyProtection="0"/>
    <xf numFmtId="175" fontId="18" fillId="0" borderId="0" applyFont="0" applyFill="0" applyBorder="0" applyAlignment="0" applyProtection="0"/>
    <xf numFmtId="175" fontId="18" fillId="0" borderId="0" applyFont="0" applyFill="0" applyBorder="0" applyAlignment="0" applyProtection="0"/>
    <xf numFmtId="0" fontId="6" fillId="41" borderId="0" applyNumberFormat="0" applyBorder="0" applyAlignment="0" applyProtection="0"/>
    <xf numFmtId="0" fontId="6" fillId="42" borderId="0" applyNumberFormat="0" applyBorder="0" applyAlignment="0" applyProtection="0"/>
    <xf numFmtId="175" fontId="18" fillId="0" borderId="0" applyFont="0" applyFill="0" applyBorder="0" applyAlignment="0" applyProtection="0"/>
    <xf numFmtId="0" fontId="4" fillId="0" borderId="0"/>
    <xf numFmtId="0" fontId="18" fillId="0" borderId="0"/>
    <xf numFmtId="41" fontId="18" fillId="0" borderId="0" applyFont="0" applyFill="0" applyBorder="0" applyAlignment="0" applyProtection="0"/>
    <xf numFmtId="43" fontId="18" fillId="0" borderId="0" applyFont="0" applyFill="0" applyBorder="0" applyAlignment="0" applyProtection="0"/>
    <xf numFmtId="43" fontId="4" fillId="0" borderId="0" applyFon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8" fillId="20" borderId="1" applyNumberFormat="0" applyAlignment="0" applyProtection="0"/>
    <xf numFmtId="0" fontId="9" fillId="21" borderId="2" applyNumberFormat="0" applyAlignment="0" applyProtection="0"/>
    <xf numFmtId="0" fontId="9" fillId="21" borderId="2" applyNumberFormat="0" applyAlignment="0" applyProtection="0"/>
    <xf numFmtId="43" fontId="5" fillId="0" borderId="0" applyFont="0" applyFill="0" applyBorder="0" applyAlignment="0" applyProtection="0"/>
    <xf numFmtId="43" fontId="18" fillId="0" borderId="0" applyFont="0" applyFill="0" applyBorder="0" applyAlignment="0" applyProtection="0"/>
    <xf numFmtId="43" fontId="2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0" borderId="3"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7" borderId="1" applyNumberFormat="0" applyAlignment="0" applyProtection="0"/>
    <xf numFmtId="0" fontId="15" fillId="7" borderId="1" applyNumberFormat="0" applyAlignment="0" applyProtection="0"/>
    <xf numFmtId="0" fontId="16" fillId="0" borderId="6" applyNumberFormat="0" applyFill="0" applyAlignment="0" applyProtection="0"/>
    <xf numFmtId="0" fontId="16" fillId="0" borderId="6" applyNumberFormat="0" applyFill="0" applyAlignment="0" applyProtection="0"/>
    <xf numFmtId="0" fontId="17" fillId="22" borderId="0" applyNumberFormat="0" applyBorder="0" applyAlignment="0" applyProtection="0"/>
    <xf numFmtId="0" fontId="17" fillId="22" borderId="0" applyNumberFormat="0" applyBorder="0" applyAlignment="0" applyProtection="0"/>
    <xf numFmtId="0" fontId="18" fillId="0" borderId="0"/>
    <xf numFmtId="0" fontId="26" fillId="0" borderId="0"/>
    <xf numFmtId="0" fontId="5" fillId="0" borderId="0"/>
    <xf numFmtId="0" fontId="4" fillId="0" borderId="0"/>
    <xf numFmtId="0" fontId="5" fillId="0" borderId="0"/>
    <xf numFmtId="0" fontId="5" fillId="0" borderId="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19" fillId="20" borderId="8" applyNumberFormat="0" applyAlignment="0" applyProtection="0"/>
    <xf numFmtId="0" fontId="19" fillId="20" borderId="8"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1" fillId="0" borderId="9" applyNumberFormat="0" applyFill="0" applyAlignment="0" applyProtection="0"/>
    <xf numFmtId="0" fontId="4" fillId="0" borderId="0"/>
    <xf numFmtId="0" fontId="26" fillId="0" borderId="0"/>
    <xf numFmtId="0" fontId="6" fillId="14"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6" fillId="13" borderId="0" applyNumberFormat="0" applyBorder="0" applyAlignment="0" applyProtection="0"/>
    <xf numFmtId="0" fontId="6" fillId="18" borderId="0" applyNumberFormat="0" applyBorder="0" applyAlignment="0" applyProtection="0"/>
    <xf numFmtId="0" fontId="6" fillId="16" borderId="0" applyNumberFormat="0" applyBorder="0" applyAlignment="0" applyProtection="0"/>
    <xf numFmtId="0" fontId="6" fillId="19" borderId="0" applyNumberFormat="0" applyBorder="0" applyAlignment="0" applyProtection="0"/>
    <xf numFmtId="0" fontId="6" fillId="17" borderId="0" applyNumberFormat="0" applyBorder="0" applyAlignment="0" applyProtection="0"/>
    <xf numFmtId="0" fontId="26" fillId="0" borderId="0"/>
    <xf numFmtId="0" fontId="87" fillId="0" borderId="0"/>
    <xf numFmtId="43" fontId="87" fillId="0" borderId="0" applyFont="0" applyFill="0" applyBorder="0" applyAlignment="0" applyProtection="0"/>
    <xf numFmtId="9" fontId="87" fillId="0" borderId="0" applyFont="0" applyFill="0" applyBorder="0" applyAlignment="0" applyProtection="0"/>
    <xf numFmtId="0" fontId="4"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43" fontId="5" fillId="0" borderId="0" applyFont="0" applyFill="0" applyBorder="0" applyAlignment="0" applyProtection="0"/>
    <xf numFmtId="43" fontId="4"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0" borderId="0"/>
    <xf numFmtId="0" fontId="5" fillId="23" borderId="7" applyNumberFormat="0" applyFont="0" applyAlignment="0" applyProtection="0"/>
    <xf numFmtId="0" fontId="19" fillId="20" borderId="8" applyNumberFormat="0" applyAlignment="0" applyProtection="0"/>
    <xf numFmtId="9" fontId="5"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4" fillId="0" borderId="0"/>
    <xf numFmtId="0" fontId="4" fillId="0" borderId="0"/>
    <xf numFmtId="0" fontId="4" fillId="0" borderId="0"/>
    <xf numFmtId="41"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26" fillId="0" borderId="0"/>
    <xf numFmtId="44" fontId="5" fillId="0" borderId="0" applyFont="0" applyFill="0" applyBorder="0" applyAlignment="0" applyProtection="0"/>
    <xf numFmtId="43" fontId="18" fillId="0" borderId="0" applyFont="0" applyFill="0" applyBorder="0" applyAlignment="0" applyProtection="0"/>
    <xf numFmtId="43" fontId="3"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89" fillId="0" borderId="0"/>
    <xf numFmtId="175" fontId="18" fillId="0" borderId="0" applyFont="0" applyFill="0" applyBorder="0" applyAlignment="0" applyProtection="0"/>
    <xf numFmtId="44" fontId="18" fillId="0" borderId="0" applyFont="0" applyFill="0" applyBorder="0" applyAlignment="0" applyProtection="0"/>
    <xf numFmtId="0" fontId="18" fillId="0" borderId="0"/>
    <xf numFmtId="0" fontId="18" fillId="0" borderId="0"/>
    <xf numFmtId="9" fontId="90" fillId="0" borderId="0" applyFont="0" applyFill="0" applyBorder="0" applyAlignment="0" applyProtection="0"/>
    <xf numFmtId="0" fontId="1" fillId="0" borderId="0"/>
    <xf numFmtId="0" fontId="1" fillId="0" borderId="0"/>
    <xf numFmtId="0" fontId="18" fillId="28" borderId="70" applyNumberFormat="0" applyProtection="0">
      <alignment horizontal="left" vertical="center" indent="1"/>
    </xf>
    <xf numFmtId="0" fontId="18" fillId="28" borderId="70" applyNumberFormat="0" applyProtection="0">
      <alignment horizontal="left" vertical="top" indent="1"/>
    </xf>
    <xf numFmtId="0" fontId="18" fillId="26" borderId="70" applyNumberFormat="0" applyProtection="0">
      <alignment horizontal="left" vertical="center" indent="1"/>
    </xf>
    <xf numFmtId="0" fontId="18" fillId="26" borderId="70" applyNumberFormat="0" applyProtection="0">
      <alignment horizontal="left" vertical="top" indent="1"/>
    </xf>
    <xf numFmtId="0" fontId="18" fillId="8" borderId="70" applyNumberFormat="0" applyProtection="0">
      <alignment horizontal="left" vertical="center" indent="1"/>
    </xf>
    <xf numFmtId="0" fontId="18" fillId="8" borderId="70" applyNumberFormat="0" applyProtection="0">
      <alignment horizontal="left" vertical="top" indent="1"/>
    </xf>
    <xf numFmtId="0" fontId="18" fillId="52" borderId="70" applyNumberFormat="0" applyProtection="0">
      <alignment horizontal="left" vertical="center" indent="1"/>
    </xf>
    <xf numFmtId="0" fontId="18" fillId="52" borderId="70" applyNumberFormat="0" applyProtection="0">
      <alignment horizontal="left" vertical="top" indent="1"/>
    </xf>
    <xf numFmtId="0" fontId="18" fillId="27" borderId="20" applyNumberFormat="0">
      <protection locked="0"/>
    </xf>
    <xf numFmtId="0" fontId="18" fillId="0" borderId="0"/>
    <xf numFmtId="43" fontId="18" fillId="0" borderId="0" applyFont="0" applyFill="0" applyBorder="0" applyAlignment="0" applyProtection="0"/>
    <xf numFmtId="43" fontId="18" fillId="0" borderId="0" applyFont="0" applyFill="0" applyBorder="0" applyAlignment="0" applyProtection="0"/>
    <xf numFmtId="175" fontId="18" fillId="0" borderId="0" applyFont="0" applyFill="0" applyBorder="0" applyAlignment="0" applyProtection="0"/>
    <xf numFmtId="44" fontId="18"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837">
    <xf numFmtId="0" fontId="0" fillId="0" borderId="0" xfId="0"/>
    <xf numFmtId="164" fontId="0" fillId="0" borderId="0" xfId="121" applyNumberFormat="1" applyFont="1"/>
    <xf numFmtId="0" fontId="27" fillId="0" borderId="0" xfId="183" applyFont="1"/>
    <xf numFmtId="0" fontId="27" fillId="0" borderId="0" xfId="183" applyFont="1" applyAlignment="1">
      <alignment horizontal="center"/>
    </xf>
    <xf numFmtId="0" fontId="27" fillId="0" borderId="0" xfId="183" applyFont="1" applyAlignment="1">
      <alignment vertical="center"/>
    </xf>
    <xf numFmtId="164" fontId="27" fillId="0" borderId="0" xfId="121" applyNumberFormat="1" applyFont="1"/>
    <xf numFmtId="41" fontId="27" fillId="0" borderId="0" xfId="121" applyNumberFormat="1" applyFont="1"/>
    <xf numFmtId="41" fontId="27" fillId="0" borderId="10" xfId="121" applyNumberFormat="1" applyFont="1" applyBorder="1"/>
    <xf numFmtId="166" fontId="27" fillId="0" borderId="10" xfId="198" applyNumberFormat="1" applyFont="1" applyBorder="1" applyAlignment="1">
      <alignment horizontal="left" indent="3"/>
    </xf>
    <xf numFmtId="41" fontId="27" fillId="0" borderId="0" xfId="121" applyNumberFormat="1" applyFont="1" applyBorder="1"/>
    <xf numFmtId="166" fontId="27" fillId="0" borderId="0" xfId="198" applyNumberFormat="1" applyFont="1" applyBorder="1" applyAlignment="1">
      <alignment horizontal="left" indent="3"/>
    </xf>
    <xf numFmtId="41" fontId="27" fillId="0" borderId="0" xfId="183" applyNumberFormat="1" applyFont="1"/>
    <xf numFmtId="164" fontId="27" fillId="0" borderId="0" xfId="121" applyNumberFormat="1" applyFont="1" applyBorder="1"/>
    <xf numFmtId="10" fontId="27" fillId="0" borderId="0" xfId="198" applyNumberFormat="1" applyFont="1" applyBorder="1" applyAlignment="1">
      <alignment horizontal="left" indent="3"/>
    </xf>
    <xf numFmtId="0" fontId="27" fillId="0" borderId="0" xfId="0" applyFont="1"/>
    <xf numFmtId="0" fontId="33" fillId="0" borderId="0" xfId="0" applyFont="1"/>
    <xf numFmtId="0" fontId="27" fillId="0" borderId="0" xfId="0" applyFont="1" applyAlignment="1">
      <alignment horizontal="left" indent="1"/>
    </xf>
    <xf numFmtId="0" fontId="27" fillId="0" borderId="0" xfId="0" applyFont="1" applyFill="1" applyAlignment="1">
      <alignment horizontal="left" indent="2"/>
    </xf>
    <xf numFmtId="0" fontId="27" fillId="0" borderId="0" xfId="0" applyFont="1" applyFill="1" applyAlignment="1">
      <alignment horizontal="left" indent="1"/>
    </xf>
    <xf numFmtId="0" fontId="27" fillId="0" borderId="0" xfId="0" applyFont="1" applyFill="1" applyAlignment="1">
      <alignment horizontal="center"/>
    </xf>
    <xf numFmtId="0" fontId="34" fillId="0" borderId="0" xfId="183" applyNumberFormat="1" applyFont="1" applyFill="1" applyAlignment="1" applyProtection="1">
      <alignment horizontal="center"/>
    </xf>
    <xf numFmtId="0" fontId="33" fillId="0" borderId="0" xfId="0" applyFont="1" applyBorder="1"/>
    <xf numFmtId="0" fontId="27" fillId="0" borderId="0" xfId="172" applyFont="1" applyFill="1" applyAlignment="1">
      <alignment horizontal="left" indent="1"/>
    </xf>
    <xf numFmtId="41" fontId="27" fillId="0" borderId="0" xfId="122" applyNumberFormat="1" applyFont="1" applyFill="1"/>
    <xf numFmtId="41" fontId="27" fillId="0" borderId="0" xfId="172" applyNumberFormat="1" applyFont="1" applyFill="1"/>
    <xf numFmtId="0" fontId="27" fillId="0" borderId="0" xfId="172" applyFont="1" applyFill="1" applyAlignment="1">
      <alignment horizontal="left" indent="2"/>
    </xf>
    <xf numFmtId="0" fontId="27" fillId="0" borderId="0" xfId="172" applyFont="1" applyFill="1"/>
    <xf numFmtId="37" fontId="27" fillId="0" borderId="0" xfId="182" applyNumberFormat="1" applyFont="1" applyAlignment="1" applyProtection="1">
      <alignment horizontal="center"/>
    </xf>
    <xf numFmtId="164" fontId="34" fillId="0" borderId="0" xfId="121" applyNumberFormat="1" applyFont="1" applyAlignment="1" applyProtection="1">
      <alignment horizontal="centerContinuous"/>
    </xf>
    <xf numFmtId="0" fontId="27" fillId="0" borderId="0" xfId="182" applyFont="1"/>
    <xf numFmtId="0" fontId="27" fillId="0" borderId="0" xfId="182" applyFont="1" applyFill="1"/>
    <xf numFmtId="0" fontId="28" fillId="0" borderId="0" xfId="183" applyFont="1" applyAlignment="1" applyProtection="1">
      <alignment horizontal="left"/>
    </xf>
    <xf numFmtId="0" fontId="34" fillId="0" borderId="0" xfId="182" applyFont="1" applyAlignment="1" applyProtection="1">
      <alignment horizontal="centerContinuous"/>
    </xf>
    <xf numFmtId="0" fontId="27" fillId="0" borderId="0" xfId="182" applyFont="1" applyFill="1" applyAlignment="1">
      <alignment vertical="center"/>
    </xf>
    <xf numFmtId="0" fontId="38" fillId="0" borderId="0" xfId="182" applyFont="1" applyFill="1" applyBorder="1" applyAlignment="1" applyProtection="1">
      <alignment horizontal="center" vertical="center"/>
    </xf>
    <xf numFmtId="37" fontId="38" fillId="0" borderId="0" xfId="182" applyNumberFormat="1" applyFont="1" applyFill="1" applyBorder="1" applyAlignment="1" applyProtection="1">
      <alignment horizontal="center" vertical="center" wrapText="1"/>
    </xf>
    <xf numFmtId="164" fontId="39" fillId="0" borderId="0" xfId="121" applyNumberFormat="1" applyFont="1" applyFill="1" applyBorder="1" applyAlignment="1" applyProtection="1">
      <alignment horizontal="center" vertical="center" wrapText="1"/>
    </xf>
    <xf numFmtId="43" fontId="34" fillId="0" borderId="0" xfId="121" applyNumberFormat="1" applyFont="1" applyFill="1" applyBorder="1" applyAlignment="1" applyProtection="1">
      <alignment horizontal="centerContinuous" vertical="center" wrapText="1"/>
    </xf>
    <xf numFmtId="0" fontId="27" fillId="0" borderId="0" xfId="183" applyFont="1" applyFill="1" applyAlignment="1">
      <alignment vertical="center"/>
    </xf>
    <xf numFmtId="0" fontId="34" fillId="0" borderId="0" xfId="182" applyFont="1" applyFill="1" applyProtection="1"/>
    <xf numFmtId="0" fontId="34" fillId="0" borderId="0" xfId="182" applyNumberFormat="1" applyFont="1" applyFill="1" applyAlignment="1" applyProtection="1">
      <alignment horizontal="center"/>
    </xf>
    <xf numFmtId="41" fontId="27" fillId="0" borderId="0" xfId="182" applyNumberFormat="1" applyFont="1" applyFill="1"/>
    <xf numFmtId="43" fontId="27" fillId="0" borderId="0" xfId="121" applyFont="1" applyFill="1"/>
    <xf numFmtId="0" fontId="27" fillId="0" borderId="0" xfId="182" applyFont="1" applyFill="1" applyAlignment="1">
      <alignment horizontal="center"/>
    </xf>
    <xf numFmtId="41" fontId="27" fillId="0" borderId="0" xfId="183" applyNumberFormat="1" applyFont="1" applyFill="1" applyAlignment="1">
      <alignment horizontal="center"/>
    </xf>
    <xf numFmtId="49" fontId="34" fillId="0" borderId="0" xfId="182" applyNumberFormat="1" applyFont="1" applyFill="1" applyAlignment="1" applyProtection="1">
      <alignment horizontal="center"/>
    </xf>
    <xf numFmtId="0" fontId="27" fillId="0" borderId="0" xfId="182" applyFont="1" applyAlignment="1">
      <alignment horizontal="center"/>
    </xf>
    <xf numFmtId="1" fontId="34" fillId="0" borderId="0" xfId="182" applyNumberFormat="1" applyFont="1" applyFill="1" applyAlignment="1" applyProtection="1">
      <alignment horizontal="center"/>
    </xf>
    <xf numFmtId="0" fontId="27" fillId="0" borderId="0" xfId="182" applyFont="1" applyFill="1" applyAlignment="1">
      <alignment vertical="top"/>
    </xf>
    <xf numFmtId="0" fontId="27" fillId="0" borderId="0" xfId="183" applyFont="1" applyFill="1" applyAlignment="1">
      <alignment horizontal="center"/>
    </xf>
    <xf numFmtId="164" fontId="34" fillId="0" borderId="0" xfId="121" applyNumberFormat="1" applyFont="1"/>
    <xf numFmtId="0" fontId="34" fillId="0" borderId="0" xfId="183" applyFont="1" applyFill="1" applyProtection="1"/>
    <xf numFmtId="0" fontId="27" fillId="0" borderId="0" xfId="183" applyFont="1" applyFill="1"/>
    <xf numFmtId="41" fontId="27" fillId="0" borderId="0" xfId="183" applyNumberFormat="1" applyFont="1" applyFill="1" applyAlignment="1">
      <alignment horizontal="right"/>
    </xf>
    <xf numFmtId="164" fontId="27" fillId="0" borderId="0" xfId="121" applyNumberFormat="1" applyFont="1" applyFill="1"/>
    <xf numFmtId="0" fontId="5" fillId="0" borderId="0" xfId="0" applyFont="1"/>
    <xf numFmtId="0" fontId="5" fillId="0" borderId="0" xfId="0" applyFont="1" applyAlignment="1">
      <alignment horizontal="center"/>
    </xf>
    <xf numFmtId="0" fontId="5" fillId="0" borderId="0" xfId="0" applyFont="1" applyFill="1"/>
    <xf numFmtId="0" fontId="5" fillId="0" borderId="0" xfId="0" quotePrefix="1" applyFont="1" applyFill="1"/>
    <xf numFmtId="0" fontId="5" fillId="0" borderId="0" xfId="0" applyFont="1" applyFill="1" applyAlignment="1">
      <alignment horizontal="center"/>
    </xf>
    <xf numFmtId="41" fontId="5" fillId="0" borderId="0" xfId="0" applyNumberFormat="1" applyFont="1" applyFill="1"/>
    <xf numFmtId="41" fontId="5" fillId="0" borderId="0" xfId="0" applyNumberFormat="1" applyFont="1"/>
    <xf numFmtId="41" fontId="5" fillId="0" borderId="21" xfId="0" applyNumberFormat="1" applyFont="1" applyBorder="1"/>
    <xf numFmtId="42" fontId="27" fillId="0" borderId="0" xfId="183" applyNumberFormat="1" applyFont="1"/>
    <xf numFmtId="0" fontId="40" fillId="0" borderId="0" xfId="183" applyFont="1" applyAlignment="1" applyProtection="1">
      <alignment horizontal="left"/>
    </xf>
    <xf numFmtId="42" fontId="27" fillId="0" borderId="0" xfId="122" applyNumberFormat="1" applyFont="1" applyFill="1"/>
    <xf numFmtId="0" fontId="42" fillId="0" borderId="0" xfId="172" applyFont="1" applyFill="1" applyAlignment="1">
      <alignment vertical="center"/>
    </xf>
    <xf numFmtId="10" fontId="42" fillId="0" borderId="10" xfId="200" applyNumberFormat="1" applyFont="1" applyFill="1" applyBorder="1" applyAlignment="1">
      <alignment vertical="center"/>
    </xf>
    <xf numFmtId="0" fontId="32" fillId="0" borderId="0" xfId="172" applyFont="1" applyFill="1" applyAlignment="1">
      <alignment horizontal="right" wrapText="1" indent="1"/>
    </xf>
    <xf numFmtId="42" fontId="27" fillId="0" borderId="21" xfId="121" applyNumberFormat="1" applyFont="1" applyFill="1" applyBorder="1"/>
    <xf numFmtId="42" fontId="34" fillId="0" borderId="21" xfId="121" applyNumberFormat="1" applyFont="1" applyFill="1" applyBorder="1"/>
    <xf numFmtId="0" fontId="32" fillId="0" borderId="0" xfId="183" applyFont="1" applyBorder="1"/>
    <xf numFmtId="0" fontId="27" fillId="0" borderId="0" xfId="183" applyFont="1" applyBorder="1" applyAlignment="1">
      <alignment horizontal="left" indent="2"/>
    </xf>
    <xf numFmtId="0" fontId="32" fillId="0" borderId="0" xfId="183" applyFont="1" applyBorder="1" applyAlignment="1">
      <alignment horizontal="left" wrapText="1"/>
    </xf>
    <xf numFmtId="0" fontId="27" fillId="0" borderId="0" xfId="183" applyFont="1" applyBorder="1" applyAlignment="1">
      <alignment horizontal="left"/>
    </xf>
    <xf numFmtId="0" fontId="32" fillId="0" borderId="0" xfId="183" applyFont="1" applyBorder="1" applyAlignment="1">
      <alignment horizontal="left"/>
    </xf>
    <xf numFmtId="41" fontId="27" fillId="0" borderId="0" xfId="183" applyNumberFormat="1" applyFont="1" applyBorder="1"/>
    <xf numFmtId="0" fontId="27" fillId="0" borderId="0" xfId="183" applyFont="1" applyBorder="1"/>
    <xf numFmtId="0" fontId="27" fillId="0" borderId="0" xfId="183" applyFont="1" applyBorder="1" applyAlignment="1">
      <alignment horizontal="left" wrapText="1"/>
    </xf>
    <xf numFmtId="0" fontId="27" fillId="0" borderId="0" xfId="183" applyFont="1" applyBorder="1" applyAlignment="1">
      <alignment horizontal="right" wrapText="1"/>
    </xf>
    <xf numFmtId="0" fontId="30" fillId="0" borderId="0" xfId="172" applyFont="1" applyFill="1" applyAlignment="1">
      <alignment wrapText="1"/>
    </xf>
    <xf numFmtId="0" fontId="27" fillId="0" borderId="0" xfId="172" applyFont="1" applyFill="1" applyAlignment="1">
      <alignment vertical="center"/>
    </xf>
    <xf numFmtId="0" fontId="27" fillId="0" borderId="0" xfId="172" applyFont="1" applyFill="1" applyAlignment="1">
      <alignment horizontal="center" vertical="center"/>
    </xf>
    <xf numFmtId="0" fontId="32" fillId="0" borderId="0" xfId="172" applyFont="1" applyFill="1"/>
    <xf numFmtId="0" fontId="27" fillId="0" borderId="0" xfId="172" applyFont="1" applyFill="1" applyAlignment="1">
      <alignment horizontal="center"/>
    </xf>
    <xf numFmtId="0" fontId="36" fillId="0" borderId="0" xfId="172" applyFont="1" applyFill="1" applyAlignment="1">
      <alignment horizontal="center"/>
    </xf>
    <xf numFmtId="0" fontId="32" fillId="0" borderId="0" xfId="172" applyFont="1" applyFill="1" applyAlignment="1">
      <alignment horizontal="right"/>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27"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0" xfId="0" applyFont="1" applyAlignment="1">
      <alignment horizontal="left" indent="1"/>
    </xf>
    <xf numFmtId="0" fontId="32" fillId="0" borderId="0" xfId="0" applyFont="1" applyFill="1" applyAlignment="1">
      <alignment horizontal="left" indent="1"/>
    </xf>
    <xf numFmtId="0" fontId="34" fillId="0" borderId="0" xfId="0" applyFont="1"/>
    <xf numFmtId="0" fontId="34" fillId="0" borderId="0" xfId="0" applyFont="1" applyAlignment="1">
      <alignment horizontal="center"/>
    </xf>
    <xf numFmtId="41" fontId="34" fillId="0" borderId="0" xfId="0" applyNumberFormat="1" applyFont="1" applyAlignment="1">
      <alignment horizontal="center"/>
    </xf>
    <xf numFmtId="0" fontId="34" fillId="0" borderId="30" xfId="0" applyFont="1" applyBorder="1"/>
    <xf numFmtId="41" fontId="34" fillId="0" borderId="30" xfId="0" applyNumberFormat="1" applyFont="1" applyBorder="1"/>
    <xf numFmtId="41" fontId="34" fillId="0" borderId="0" xfId="0" applyNumberFormat="1" applyFont="1"/>
    <xf numFmtId="0" fontId="27" fillId="0" borderId="30" xfId="172" applyFont="1" applyFill="1" applyBorder="1"/>
    <xf numFmtId="10" fontId="27" fillId="0" borderId="30" xfId="200" applyNumberFormat="1" applyFont="1" applyFill="1" applyBorder="1"/>
    <xf numFmtId="0" fontId="32" fillId="0" borderId="31" xfId="183" applyFont="1" applyBorder="1" applyAlignment="1">
      <alignment horizontal="left" vertical="center" wrapText="1"/>
    </xf>
    <xf numFmtId="166" fontId="32" fillId="0" borderId="31" xfId="198" applyNumberFormat="1" applyFont="1" applyBorder="1" applyAlignment="1">
      <alignment horizontal="center" vertical="center"/>
    </xf>
    <xf numFmtId="0" fontId="32" fillId="0" borderId="31" xfId="183" applyFont="1" applyBorder="1" applyAlignment="1">
      <alignment vertical="center" wrapText="1"/>
    </xf>
    <xf numFmtId="0" fontId="32" fillId="0" borderId="32" xfId="183" applyFont="1" applyBorder="1" applyAlignment="1">
      <alignment vertical="center" wrapText="1"/>
    </xf>
    <xf numFmtId="166" fontId="32" fillId="0" borderId="32" xfId="198" applyNumberFormat="1" applyFont="1" applyBorder="1" applyAlignment="1">
      <alignment horizontal="center" vertical="center"/>
    </xf>
    <xf numFmtId="0" fontId="27" fillId="0" borderId="33" xfId="183" applyFont="1" applyBorder="1" applyAlignment="1">
      <alignment horizontal="center" vertical="center"/>
    </xf>
    <xf numFmtId="164" fontId="32" fillId="0" borderId="33" xfId="121" applyNumberFormat="1" applyFont="1" applyBorder="1" applyAlignment="1">
      <alignment horizontal="center" vertical="center" wrapText="1"/>
    </xf>
    <xf numFmtId="0" fontId="32" fillId="0" borderId="33" xfId="183" applyFont="1" applyBorder="1" applyAlignment="1">
      <alignment horizontal="center" vertical="center" wrapText="1"/>
    </xf>
    <xf numFmtId="0" fontId="32" fillId="0" borderId="33" xfId="172" applyFont="1" applyFill="1" applyBorder="1" applyAlignment="1">
      <alignment horizontal="left" vertical="center"/>
    </xf>
    <xf numFmtId="0" fontId="32" fillId="0" borderId="33" xfId="172" applyFont="1" applyFill="1" applyBorder="1" applyAlignment="1">
      <alignment horizontal="center" vertical="center" wrapText="1"/>
    </xf>
    <xf numFmtId="0" fontId="32" fillId="0" borderId="33" xfId="172" applyFont="1" applyFill="1" applyBorder="1" applyAlignment="1">
      <alignment horizontal="center" vertical="center"/>
    </xf>
    <xf numFmtId="0" fontId="32" fillId="0" borderId="33" xfId="172" applyFont="1" applyFill="1" applyBorder="1" applyAlignment="1">
      <alignment horizontal="center"/>
    </xf>
    <xf numFmtId="41" fontId="27" fillId="0" borderId="0" xfId="121" applyNumberFormat="1" applyFont="1" applyFill="1" applyBorder="1"/>
    <xf numFmtId="0" fontId="27" fillId="0" borderId="0" xfId="182" applyFont="1" applyFill="1" applyAlignment="1">
      <alignment horizontal="center" vertical="center"/>
    </xf>
    <xf numFmtId="0" fontId="27" fillId="0" borderId="0" xfId="172" applyFont="1" applyFill="1" applyAlignment="1">
      <alignment horizontal="left" wrapText="1" indent="1"/>
    </xf>
    <xf numFmtId="0" fontId="5" fillId="0" borderId="0" xfId="0" applyNumberFormat="1" applyFont="1" applyFill="1" applyAlignment="1">
      <alignment horizontal="center"/>
    </xf>
    <xf numFmtId="0" fontId="5" fillId="0" borderId="0" xfId="0" applyNumberFormat="1" applyFont="1" applyAlignment="1">
      <alignment horizontal="center"/>
    </xf>
    <xf numFmtId="0" fontId="21" fillId="0" borderId="0" xfId="0" applyFont="1" applyAlignment="1">
      <alignment horizontal="center"/>
    </xf>
    <xf numFmtId="0" fontId="0" fillId="0" borderId="0" xfId="0" applyAlignment="1">
      <alignment horizontal="center"/>
    </xf>
    <xf numFmtId="40" fontId="0" fillId="0" borderId="0" xfId="0" applyNumberFormat="1" applyAlignment="1">
      <alignment horizontal="center"/>
    </xf>
    <xf numFmtId="0" fontId="21" fillId="24" borderId="0" xfId="0" applyFont="1" applyFill="1"/>
    <xf numFmtId="0" fontId="0" fillId="24" borderId="0" xfId="0" applyFont="1" applyFill="1"/>
    <xf numFmtId="0" fontId="28" fillId="24" borderId="0" xfId="0" applyFont="1" applyFill="1"/>
    <xf numFmtId="0" fontId="34" fillId="24" borderId="0" xfId="0" applyFont="1" applyFill="1"/>
    <xf numFmtId="0" fontId="24" fillId="0" borderId="0" xfId="172"/>
    <xf numFmtId="0" fontId="24" fillId="0" borderId="0" xfId="172" applyAlignment="1">
      <alignment horizontal="center"/>
    </xf>
    <xf numFmtId="0" fontId="18" fillId="0" borderId="0" xfId="172" applyFont="1" applyAlignment="1">
      <alignment horizontal="center"/>
    </xf>
    <xf numFmtId="164" fontId="24" fillId="0" borderId="0" xfId="172" applyNumberFormat="1" applyAlignment="1">
      <alignment horizontal="center"/>
    </xf>
    <xf numFmtId="0" fontId="0" fillId="0" borderId="0" xfId="0" applyFill="1"/>
    <xf numFmtId="0" fontId="0" fillId="0" borderId="0" xfId="0" applyNumberFormat="1" applyFill="1" applyAlignment="1">
      <alignment horizontal="center"/>
    </xf>
    <xf numFmtId="49" fontId="34" fillId="0" borderId="0" xfId="182" applyNumberFormat="1" applyFont="1" applyFill="1" applyBorder="1" applyAlignment="1" applyProtection="1">
      <alignment horizontal="center"/>
    </xf>
    <xf numFmtId="0" fontId="34" fillId="0" borderId="0" xfId="182" applyNumberFormat="1" applyFont="1" applyFill="1" applyBorder="1" applyAlignment="1" applyProtection="1">
      <alignment horizontal="center"/>
    </xf>
    <xf numFmtId="169" fontId="27" fillId="0" borderId="0" xfId="183" applyNumberFormat="1" applyFont="1"/>
    <xf numFmtId="41" fontId="33" fillId="0" borderId="0" xfId="0" applyNumberFormat="1" applyFont="1"/>
    <xf numFmtId="41" fontId="33" fillId="0" borderId="0" xfId="0" applyNumberFormat="1" applyFont="1" applyFill="1"/>
    <xf numFmtId="0" fontId="32" fillId="0" borderId="0" xfId="183" applyFont="1" applyAlignment="1">
      <alignment horizontal="right"/>
    </xf>
    <xf numFmtId="164" fontId="0" fillId="0" borderId="0" xfId="122" applyNumberFormat="1" applyFont="1" applyAlignment="1">
      <alignment horizontal="center"/>
    </xf>
    <xf numFmtId="38" fontId="24" fillId="0" borderId="0" xfId="172" applyNumberFormat="1" applyAlignment="1">
      <alignment horizontal="center"/>
    </xf>
    <xf numFmtId="0" fontId="25" fillId="0" borderId="0" xfId="172" applyFont="1" applyAlignment="1">
      <alignment horizontal="center"/>
    </xf>
    <xf numFmtId="40" fontId="0" fillId="0" borderId="0" xfId="122" applyNumberFormat="1" applyFont="1" applyAlignment="1">
      <alignment horizontal="center"/>
    </xf>
    <xf numFmtId="40" fontId="24" fillId="0" borderId="0" xfId="172" applyNumberFormat="1" applyAlignment="1">
      <alignment horizontal="center"/>
    </xf>
    <xf numFmtId="40" fontId="24" fillId="0" borderId="0" xfId="172" applyNumberFormat="1"/>
    <xf numFmtId="0" fontId="27" fillId="0" borderId="0" xfId="183" applyFont="1" applyAlignment="1">
      <alignment horizontal="right"/>
    </xf>
    <xf numFmtId="0" fontId="23" fillId="0" borderId="0" xfId="183" applyFont="1" applyAlignment="1">
      <alignment horizontal="center" vertical="center"/>
    </xf>
    <xf numFmtId="42" fontId="27" fillId="0" borderId="0" xfId="121" applyNumberFormat="1" applyFont="1" applyFill="1" applyBorder="1"/>
    <xf numFmtId="171" fontId="24" fillId="0" borderId="0" xfId="172" applyNumberFormat="1"/>
    <xf numFmtId="0" fontId="27" fillId="0" borderId="35" xfId="183" applyFont="1" applyBorder="1" applyAlignment="1">
      <alignment horizontal="center"/>
    </xf>
    <xf numFmtId="164" fontId="27" fillId="0" borderId="36" xfId="121" applyNumberFormat="1" applyFont="1" applyBorder="1"/>
    <xf numFmtId="164" fontId="27" fillId="0" borderId="37" xfId="121" applyNumberFormat="1" applyFont="1" applyBorder="1"/>
    <xf numFmtId="0" fontId="27" fillId="0" borderId="38" xfId="183" applyFont="1" applyBorder="1" applyAlignment="1">
      <alignment horizontal="center"/>
    </xf>
    <xf numFmtId="38" fontId="0" fillId="0" borderId="0" xfId="0" applyNumberFormat="1" applyAlignment="1">
      <alignment horizontal="center"/>
    </xf>
    <xf numFmtId="0" fontId="34" fillId="0" borderId="0" xfId="182" applyFont="1" applyFill="1" applyAlignment="1" applyProtection="1">
      <alignment horizontal="center"/>
    </xf>
    <xf numFmtId="41" fontId="34" fillId="0" borderId="0" xfId="121" applyNumberFormat="1" applyFont="1" applyFill="1"/>
    <xf numFmtId="0" fontId="32" fillId="0" borderId="0" xfId="183" applyFont="1" applyBorder="1" applyAlignment="1">
      <alignment horizontal="center" vertical="center"/>
    </xf>
    <xf numFmtId="0" fontId="27" fillId="0" borderId="0" xfId="183" applyFont="1" applyBorder="1" applyAlignment="1">
      <alignment vertical="center"/>
    </xf>
    <xf numFmtId="41" fontId="23" fillId="0" borderId="0" xfId="183" applyNumberFormat="1" applyFont="1" applyBorder="1"/>
    <xf numFmtId="41" fontId="27" fillId="0" borderId="10" xfId="121" applyNumberFormat="1" applyFont="1" applyFill="1" applyBorder="1"/>
    <xf numFmtId="41" fontId="32" fillId="0" borderId="31" xfId="121" applyNumberFormat="1" applyFont="1" applyBorder="1" applyAlignment="1">
      <alignment vertical="center"/>
    </xf>
    <xf numFmtId="41" fontId="32" fillId="0" borderId="32" xfId="121" applyNumberFormat="1" applyFont="1" applyBorder="1" applyAlignment="1">
      <alignment vertical="center"/>
    </xf>
    <xf numFmtId="41" fontId="27" fillId="0" borderId="10" xfId="122" applyNumberFormat="1" applyFont="1" applyFill="1" applyBorder="1"/>
    <xf numFmtId="41" fontId="32" fillId="0" borderId="0" xfId="122" applyNumberFormat="1" applyFont="1" applyFill="1"/>
    <xf numFmtId="41" fontId="32" fillId="0" borderId="0" xfId="172" applyNumberFormat="1" applyFont="1" applyFill="1"/>
    <xf numFmtId="41" fontId="32" fillId="0" borderId="21" xfId="122" applyNumberFormat="1" applyFont="1" applyFill="1" applyBorder="1"/>
    <xf numFmtId="0" fontId="32" fillId="0" borderId="34" xfId="172" applyFont="1" applyFill="1" applyBorder="1" applyAlignment="1">
      <alignment horizontal="center" vertical="center" wrapText="1"/>
    </xf>
    <xf numFmtId="41" fontId="66" fillId="0" borderId="0" xfId="122" applyNumberFormat="1" applyFont="1" applyFill="1"/>
    <xf numFmtId="164" fontId="27" fillId="0" borderId="0" xfId="183" applyNumberFormat="1" applyFont="1" applyFill="1" applyAlignment="1">
      <alignment horizontal="right"/>
    </xf>
    <xf numFmtId="41" fontId="27" fillId="0" borderId="30" xfId="121" applyNumberFormat="1" applyFont="1" applyBorder="1"/>
    <xf numFmtId="41" fontId="27" fillId="0" borderId="39" xfId="121" applyNumberFormat="1" applyFont="1" applyBorder="1"/>
    <xf numFmtId="168" fontId="27" fillId="0" borderId="0" xfId="183" applyNumberFormat="1" applyFont="1" applyFill="1" applyAlignment="1">
      <alignment horizontal="right"/>
    </xf>
    <xf numFmtId="173" fontId="27" fillId="0" borderId="0" xfId="183" applyNumberFormat="1" applyFont="1" applyFill="1" applyAlignment="1">
      <alignment horizontal="right"/>
    </xf>
    <xf numFmtId="168" fontId="27" fillId="0" borderId="0" xfId="182" applyNumberFormat="1" applyFont="1" applyFill="1"/>
    <xf numFmtId="41" fontId="27" fillId="0" borderId="0" xfId="126" applyNumberFormat="1" applyFont="1" applyFill="1" applyAlignment="1" applyProtection="1">
      <alignment horizontal="left"/>
    </xf>
    <xf numFmtId="41" fontId="27" fillId="0" borderId="0" xfId="184" applyNumberFormat="1" applyFont="1" applyFill="1"/>
    <xf numFmtId="0" fontId="43" fillId="0" borderId="0" xfId="187"/>
    <xf numFmtId="0" fontId="45" fillId="0" borderId="0" xfId="187" applyFont="1" applyFill="1" applyAlignment="1" applyProtection="1">
      <alignment horizontal="centerContinuous"/>
    </xf>
    <xf numFmtId="0" fontId="43" fillId="0" borderId="0" xfId="187" applyFont="1" applyFill="1" applyProtection="1"/>
    <xf numFmtId="0" fontId="43" fillId="0" borderId="0" xfId="187" applyFont="1" applyAlignment="1" applyProtection="1">
      <alignment horizontal="center"/>
    </xf>
    <xf numFmtId="39" fontId="43" fillId="0" borderId="0" xfId="187" applyNumberFormat="1" applyFont="1" applyFill="1" applyProtection="1"/>
    <xf numFmtId="4" fontId="43" fillId="0" borderId="0" xfId="187" applyNumberFormat="1" applyFont="1" applyFill="1" applyBorder="1" applyProtection="1"/>
    <xf numFmtId="3" fontId="43" fillId="0" borderId="0" xfId="187" applyNumberFormat="1" applyFont="1" applyAlignment="1" applyProtection="1"/>
    <xf numFmtId="3" fontId="43" fillId="0" borderId="0" xfId="187" applyNumberFormat="1" applyAlignment="1"/>
    <xf numFmtId="0" fontId="43" fillId="0" borderId="0" xfId="187" applyFont="1" applyFill="1" applyAlignment="1" applyProtection="1">
      <alignment horizontal="centerContinuous"/>
    </xf>
    <xf numFmtId="0" fontId="43" fillId="0" borderId="0" xfId="187" applyFill="1" applyAlignment="1">
      <alignment horizontal="centerContinuous"/>
    </xf>
    <xf numFmtId="39" fontId="43" fillId="0" borderId="0" xfId="187" applyNumberFormat="1" applyFont="1" applyFill="1" applyAlignment="1" applyProtection="1">
      <alignment horizontal="center"/>
    </xf>
    <xf numFmtId="3" fontId="43" fillId="0" borderId="10" xfId="187" applyNumberFormat="1" applyFont="1" applyBorder="1" applyAlignment="1" applyProtection="1">
      <alignment horizontal="centerContinuous"/>
    </xf>
    <xf numFmtId="0" fontId="43" fillId="0" borderId="40" xfId="187" applyFont="1" applyFill="1" applyBorder="1" applyAlignment="1" applyProtection="1"/>
    <xf numFmtId="0" fontId="43" fillId="0" borderId="40" xfId="187" applyFont="1" applyFill="1" applyBorder="1" applyAlignment="1" applyProtection="1">
      <alignment horizontal="left"/>
    </xf>
    <xf numFmtId="0" fontId="43" fillId="0" borderId="40" xfId="187" applyFont="1" applyBorder="1" applyAlignment="1" applyProtection="1">
      <alignment horizontal="center"/>
    </xf>
    <xf numFmtId="39" fontId="43" fillId="0" borderId="40" xfId="187" applyNumberFormat="1" applyFont="1" applyFill="1" applyBorder="1" applyAlignment="1" applyProtection="1">
      <alignment horizontal="center"/>
    </xf>
    <xf numFmtId="3" fontId="43" fillId="0" borderId="40" xfId="187" applyNumberFormat="1" applyFont="1" applyBorder="1" applyAlignment="1" applyProtection="1">
      <alignment horizontal="center"/>
    </xf>
    <xf numFmtId="3" fontId="43" fillId="0" borderId="0" xfId="125" applyNumberFormat="1" applyFont="1" applyAlignment="1" applyProtection="1"/>
    <xf numFmtId="0" fontId="43" fillId="0" borderId="0" xfId="187" applyFont="1" applyFill="1" applyAlignment="1" applyProtection="1">
      <alignment horizontal="left"/>
    </xf>
    <xf numFmtId="39" fontId="47" fillId="0" borderId="0" xfId="125" applyNumberFormat="1" applyFont="1" applyFill="1" applyBorder="1" applyProtection="1"/>
    <xf numFmtId="4" fontId="47" fillId="0" borderId="0" xfId="125" applyNumberFormat="1" applyFont="1" applyFill="1" applyBorder="1" applyProtection="1"/>
    <xf numFmtId="4" fontId="47" fillId="0" borderId="10" xfId="125" applyNumberFormat="1" applyFont="1" applyFill="1" applyBorder="1" applyProtection="1"/>
    <xf numFmtId="3" fontId="43" fillId="0" borderId="10" xfId="125" applyNumberFormat="1" applyFont="1" applyBorder="1" applyAlignment="1" applyProtection="1"/>
    <xf numFmtId="0" fontId="43" fillId="0" borderId="0" xfId="187" applyFont="1" applyFill="1" applyAlignment="1" applyProtection="1">
      <alignment horizontal="center"/>
    </xf>
    <xf numFmtId="39" fontId="47" fillId="0" borderId="0" xfId="125" applyNumberFormat="1" applyFont="1" applyFill="1" applyProtection="1"/>
    <xf numFmtId="4" fontId="47" fillId="0" borderId="0" xfId="125" applyNumberFormat="1" applyFont="1" applyFill="1" applyProtection="1"/>
    <xf numFmtId="3" fontId="43" fillId="0" borderId="0" xfId="125" applyNumberFormat="1" applyFont="1" applyProtection="1"/>
    <xf numFmtId="0" fontId="48" fillId="0" borderId="0" xfId="187" applyFont="1" applyFill="1" applyAlignment="1" applyProtection="1">
      <alignment horizontal="right"/>
    </xf>
    <xf numFmtId="0" fontId="48" fillId="0" borderId="0" xfId="187" applyFont="1" applyAlignment="1" applyProtection="1">
      <alignment horizontal="center"/>
    </xf>
    <xf numFmtId="39" fontId="49" fillId="0" borderId="21" xfId="125" applyNumberFormat="1" applyFont="1" applyFill="1" applyBorder="1" applyProtection="1"/>
    <xf numFmtId="4" fontId="49" fillId="0" borderId="21" xfId="125" applyNumberFormat="1" applyFont="1" applyFill="1" applyBorder="1" applyProtection="1"/>
    <xf numFmtId="3" fontId="48" fillId="0" borderId="21" xfId="125" applyNumberFormat="1" applyFont="1" applyBorder="1" applyProtection="1"/>
    <xf numFmtId="39" fontId="47" fillId="0" borderId="0" xfId="125" applyNumberFormat="1" applyFont="1" applyFill="1" applyAlignment="1" applyProtection="1">
      <alignment horizontal="centerContinuous"/>
    </xf>
    <xf numFmtId="0" fontId="45" fillId="0" borderId="0" xfId="187" applyFont="1" applyFill="1" applyAlignment="1" applyProtection="1">
      <alignment horizontal="left"/>
    </xf>
    <xf numFmtId="3" fontId="43" fillId="0" borderId="0" xfId="125" applyNumberFormat="1" applyFont="1" applyAlignment="1"/>
    <xf numFmtId="39" fontId="47" fillId="0" borderId="0" xfId="125" applyNumberFormat="1" applyFont="1" applyFill="1" applyAlignment="1" applyProtection="1">
      <alignment horizontal="center"/>
    </xf>
    <xf numFmtId="3" fontId="43" fillId="0" borderId="0" xfId="125" applyNumberFormat="1" applyFont="1" applyAlignment="1" applyProtection="1">
      <alignment horizontal="center"/>
    </xf>
    <xf numFmtId="39" fontId="50" fillId="0" borderId="0" xfId="125" applyNumberFormat="1" applyFont="1" applyFill="1" applyProtection="1"/>
    <xf numFmtId="39" fontId="50" fillId="0" borderId="0" xfId="125" applyNumberFormat="1" applyFont="1" applyFill="1" applyBorder="1" applyProtection="1"/>
    <xf numFmtId="3" fontId="43" fillId="0" borderId="0" xfId="125" applyNumberFormat="1" applyFont="1" applyBorder="1" applyAlignment="1" applyProtection="1"/>
    <xf numFmtId="39" fontId="43" fillId="0" borderId="0" xfId="125" applyNumberFormat="1" applyFont="1" applyFill="1" applyProtection="1"/>
    <xf numFmtId="4" fontId="43" fillId="0" borderId="0" xfId="125" applyNumberFormat="1" applyFont="1" applyFill="1" applyProtection="1"/>
    <xf numFmtId="0" fontId="43" fillId="0" borderId="0" xfId="187" applyFill="1"/>
    <xf numFmtId="0" fontId="43" fillId="0" borderId="0" xfId="187" applyAlignment="1">
      <alignment horizontal="center"/>
    </xf>
    <xf numFmtId="39" fontId="43" fillId="0" borderId="0" xfId="187" applyNumberFormat="1" applyFill="1"/>
    <xf numFmtId="37" fontId="43" fillId="0" borderId="0" xfId="187" applyNumberFormat="1" applyFill="1"/>
    <xf numFmtId="4" fontId="43" fillId="0" borderId="0" xfId="187" applyNumberFormat="1" applyFill="1" applyBorder="1"/>
    <xf numFmtId="3" fontId="43" fillId="0" borderId="10" xfId="187" applyNumberFormat="1" applyBorder="1" applyAlignment="1"/>
    <xf numFmtId="39" fontId="43" fillId="0" borderId="41" xfId="125" applyNumberFormat="1" applyFont="1" applyFill="1" applyBorder="1" applyProtection="1"/>
    <xf numFmtId="4" fontId="43" fillId="0" borderId="41" xfId="125" applyNumberFormat="1" applyFont="1" applyFill="1" applyBorder="1" applyProtection="1"/>
    <xf numFmtId="3" fontId="43" fillId="0" borderId="41" xfId="125" applyNumberFormat="1" applyFont="1" applyFill="1" applyBorder="1" applyProtection="1"/>
    <xf numFmtId="3" fontId="43" fillId="0" borderId="0" xfId="125" applyNumberFormat="1" applyFont="1" applyFill="1" applyProtection="1"/>
    <xf numFmtId="0" fontId="43" fillId="0" borderId="0" xfId="187" quotePrefix="1" applyFont="1" applyFill="1" applyAlignment="1" applyProtection="1">
      <alignment horizontal="left"/>
    </xf>
    <xf numFmtId="39" fontId="50" fillId="0" borderId="0" xfId="125" applyNumberFormat="1" applyFont="1" applyFill="1" applyAlignment="1" applyProtection="1"/>
    <xf numFmtId="0" fontId="43" fillId="0" borderId="0" xfId="187" applyFont="1" applyAlignment="1">
      <alignment horizontal="left"/>
    </xf>
    <xf numFmtId="4" fontId="43" fillId="0" borderId="0" xfId="187" applyNumberFormat="1" applyFont="1" applyFill="1" applyBorder="1" applyAlignment="1" applyProtection="1">
      <alignment horizontal="left"/>
    </xf>
    <xf numFmtId="0" fontId="51" fillId="0" borderId="0" xfId="187" applyFont="1" applyFill="1" applyAlignment="1" applyProtection="1">
      <alignment horizontal="left"/>
    </xf>
    <xf numFmtId="39" fontId="50" fillId="0" borderId="0" xfId="125" applyNumberFormat="1" applyFont="1" applyFill="1" applyBorder="1"/>
    <xf numFmtId="3" fontId="43" fillId="0" borderId="0" xfId="125" applyNumberFormat="1" applyFont="1" applyFill="1" applyBorder="1" applyAlignment="1" applyProtection="1"/>
    <xf numFmtId="0" fontId="43" fillId="0" borderId="0" xfId="187" applyFont="1" applyFill="1"/>
    <xf numFmtId="0" fontId="43" fillId="0" borderId="0" xfId="187" applyFont="1" applyFill="1" applyAlignment="1">
      <alignment horizontal="left"/>
    </xf>
    <xf numFmtId="39" fontId="43" fillId="0" borderId="0" xfId="187" applyNumberFormat="1" applyFont="1" applyAlignment="1">
      <alignment horizontal="left"/>
    </xf>
    <xf numFmtId="4" fontId="43" fillId="0" borderId="0" xfId="187" applyNumberFormat="1" applyFont="1" applyAlignment="1">
      <alignment horizontal="left"/>
    </xf>
    <xf numFmtId="0" fontId="48" fillId="0" borderId="0" xfId="187" applyFont="1" applyFill="1" applyAlignment="1" applyProtection="1">
      <alignment horizontal="left"/>
    </xf>
    <xf numFmtId="39" fontId="48" fillId="0" borderId="21" xfId="125" applyNumberFormat="1" applyFont="1" applyFill="1" applyBorder="1" applyAlignment="1" applyProtection="1"/>
    <xf numFmtId="167" fontId="48" fillId="0" borderId="0" xfId="125" applyNumberFormat="1" applyFont="1" applyFill="1" applyBorder="1" applyAlignment="1" applyProtection="1"/>
    <xf numFmtId="4" fontId="48" fillId="0" borderId="21" xfId="125" applyNumberFormat="1" applyFont="1" applyFill="1" applyBorder="1" applyAlignment="1" applyProtection="1"/>
    <xf numFmtId="3" fontId="48" fillId="0" borderId="21" xfId="125" applyNumberFormat="1" applyFont="1" applyBorder="1" applyAlignment="1" applyProtection="1"/>
    <xf numFmtId="39" fontId="43" fillId="0" borderId="0" xfId="125" applyNumberFormat="1" applyFont="1" applyFill="1"/>
    <xf numFmtId="3" fontId="43" fillId="0" borderId="0" xfId="125" applyNumberFormat="1" applyFont="1"/>
    <xf numFmtId="0" fontId="51" fillId="0" borderId="0" xfId="187" applyFont="1" applyAlignment="1" applyProtection="1">
      <alignment horizontal="center"/>
    </xf>
    <xf numFmtId="39" fontId="43" fillId="0" borderId="0" xfId="125" applyNumberFormat="1" applyFont="1" applyFill="1" applyAlignment="1" applyProtection="1"/>
    <xf numFmtId="0" fontId="60" fillId="0" borderId="0" xfId="187" applyFont="1" applyFill="1" applyAlignment="1" applyProtection="1">
      <alignment horizontal="left"/>
    </xf>
    <xf numFmtId="3" fontId="43" fillId="0" borderId="0" xfId="125" applyNumberFormat="1" applyFont="1" applyFill="1" applyAlignment="1" applyProtection="1"/>
    <xf numFmtId="0" fontId="48" fillId="0" borderId="0" xfId="187" quotePrefix="1" applyFont="1" applyFill="1" applyAlignment="1" applyProtection="1">
      <alignment horizontal="left"/>
    </xf>
    <xf numFmtId="4" fontId="50" fillId="0" borderId="10" xfId="125" applyNumberFormat="1" applyFont="1" applyFill="1" applyBorder="1" applyProtection="1"/>
    <xf numFmtId="0" fontId="47" fillId="0" borderId="0" xfId="187" applyFont="1" applyFill="1" applyAlignment="1" applyProtection="1">
      <alignment horizontal="left"/>
    </xf>
    <xf numFmtId="39" fontId="50" fillId="0" borderId="10" xfId="125" applyNumberFormat="1" applyFont="1" applyFill="1" applyBorder="1" applyAlignment="1" applyProtection="1"/>
    <xf numFmtId="4" fontId="43" fillId="0" borderId="0" xfId="125" applyNumberFormat="1" applyFont="1" applyFill="1" applyAlignment="1" applyProtection="1"/>
    <xf numFmtId="0" fontId="52" fillId="0" borderId="0" xfId="187" quotePrefix="1" applyFont="1" applyFill="1" applyAlignment="1" applyProtection="1">
      <alignment horizontal="center"/>
    </xf>
    <xf numFmtId="39" fontId="47" fillId="0" borderId="0" xfId="125" applyNumberFormat="1" applyFont="1" applyFill="1" applyAlignment="1" applyProtection="1"/>
    <xf numFmtId="0" fontId="48" fillId="0" borderId="0" xfId="187" applyFont="1" applyFill="1" applyAlignment="1" applyProtection="1">
      <alignment horizontal="center"/>
    </xf>
    <xf numFmtId="4" fontId="49" fillId="0" borderId="0" xfId="125" applyNumberFormat="1" applyFont="1" applyFill="1" applyBorder="1" applyProtection="1"/>
    <xf numFmtId="3" fontId="48" fillId="0" borderId="0" xfId="125" applyNumberFormat="1" applyFont="1" applyAlignment="1" applyProtection="1"/>
    <xf numFmtId="0" fontId="52" fillId="0" borderId="0" xfId="187" applyFont="1" applyFill="1" applyAlignment="1" applyProtection="1">
      <alignment horizontal="right"/>
    </xf>
    <xf numFmtId="39" fontId="50" fillId="0" borderId="0" xfId="125" applyNumberFormat="1" applyFont="1" applyFill="1"/>
    <xf numFmtId="39" fontId="47" fillId="0" borderId="0" xfId="125" applyNumberFormat="1" applyFont="1" applyFill="1"/>
    <xf numFmtId="39" fontId="50" fillId="0" borderId="0" xfId="125" applyNumberFormat="1" applyFont="1" applyFill="1" applyBorder="1" applyAlignment="1" applyProtection="1"/>
    <xf numFmtId="4" fontId="43" fillId="0" borderId="41" xfId="125" applyNumberFormat="1" applyFont="1" applyFill="1" applyBorder="1" applyAlignment="1" applyProtection="1"/>
    <xf numFmtId="3" fontId="43" fillId="0" borderId="41" xfId="125" applyNumberFormat="1" applyFont="1" applyBorder="1" applyAlignment="1" applyProtection="1"/>
    <xf numFmtId="0" fontId="43" fillId="0" borderId="0" xfId="187" applyFont="1" applyBorder="1" applyAlignment="1" applyProtection="1">
      <alignment horizontal="center"/>
    </xf>
    <xf numFmtId="4" fontId="43" fillId="0" borderId="0" xfId="187" applyNumberFormat="1" applyFill="1"/>
    <xf numFmtId="3" fontId="48" fillId="0" borderId="21" xfId="125" applyNumberFormat="1" applyFont="1" applyFill="1" applyBorder="1" applyAlignment="1" applyProtection="1"/>
    <xf numFmtId="0" fontId="43" fillId="0" borderId="0" xfId="187" applyFont="1" applyFill="1" applyAlignment="1" applyProtection="1">
      <alignment horizontal="right"/>
    </xf>
    <xf numFmtId="39" fontId="43" fillId="0" borderId="0" xfId="125" applyNumberFormat="1" applyFont="1" applyFill="1" applyBorder="1" applyAlignment="1" applyProtection="1"/>
    <xf numFmtId="0" fontId="45" fillId="0" borderId="0" xfId="187" applyFont="1" applyFill="1" applyAlignment="1" applyProtection="1">
      <alignment horizontal="right"/>
    </xf>
    <xf numFmtId="0" fontId="43" fillId="0" borderId="0" xfId="187" applyFont="1" applyFill="1" applyAlignment="1" applyProtection="1"/>
    <xf numFmtId="39" fontId="47" fillId="0" borderId="0" xfId="125" applyNumberFormat="1" applyFont="1" applyFill="1" applyBorder="1" applyAlignment="1" applyProtection="1"/>
    <xf numFmtId="4" fontId="43" fillId="0" borderId="0" xfId="187" applyNumberFormat="1" applyFont="1" applyFill="1" applyAlignment="1">
      <alignment horizontal="left"/>
    </xf>
    <xf numFmtId="39" fontId="48" fillId="0" borderId="0" xfId="125" applyNumberFormat="1" applyFont="1" applyFill="1" applyBorder="1" applyAlignment="1" applyProtection="1"/>
    <xf numFmtId="4" fontId="48" fillId="0" borderId="0" xfId="125" applyNumberFormat="1" applyFont="1" applyFill="1" applyBorder="1" applyAlignment="1" applyProtection="1"/>
    <xf numFmtId="3" fontId="48" fillId="0" borderId="0" xfId="125" applyNumberFormat="1" applyFont="1" applyFill="1" applyBorder="1" applyAlignment="1" applyProtection="1"/>
    <xf numFmtId="39" fontId="48" fillId="0" borderId="21" xfId="125" applyNumberFormat="1" applyFont="1" applyFill="1" applyBorder="1"/>
    <xf numFmtId="4" fontId="48" fillId="0" borderId="21" xfId="125" applyNumberFormat="1" applyFont="1" applyFill="1" applyBorder="1"/>
    <xf numFmtId="3" fontId="48" fillId="0" borderId="21" xfId="125" applyNumberFormat="1" applyFont="1" applyFill="1" applyBorder="1"/>
    <xf numFmtId="39" fontId="43" fillId="0" borderId="0" xfId="125" applyNumberFormat="1" applyFont="1" applyFill="1" applyBorder="1"/>
    <xf numFmtId="0" fontId="48" fillId="0" borderId="0" xfId="187" applyFont="1" applyFill="1"/>
    <xf numFmtId="0" fontId="48" fillId="0" borderId="0" xfId="187" applyFont="1" applyFill="1" applyAlignment="1">
      <alignment horizontal="right"/>
    </xf>
    <xf numFmtId="0" fontId="43" fillId="0" borderId="0" xfId="187" applyFill="1" applyAlignment="1">
      <alignment horizontal="right"/>
    </xf>
    <xf numFmtId="39" fontId="43" fillId="0" borderId="0" xfId="187" applyNumberFormat="1" applyFill="1" applyBorder="1"/>
    <xf numFmtId="3" fontId="43" fillId="0" borderId="0" xfId="187" applyNumberFormat="1" applyFill="1"/>
    <xf numFmtId="3" fontId="43" fillId="0" borderId="0" xfId="187" applyNumberFormat="1" applyFill="1" applyBorder="1"/>
    <xf numFmtId="43" fontId="0" fillId="0" borderId="0" xfId="121" applyNumberFormat="1" applyFont="1"/>
    <xf numFmtId="164" fontId="0" fillId="0" borderId="0" xfId="0" applyNumberFormat="1"/>
    <xf numFmtId="0" fontId="44" fillId="0" borderId="0" xfId="187" applyFont="1" applyFill="1" applyAlignment="1" applyProtection="1">
      <alignment horizontal="centerContinuous"/>
    </xf>
    <xf numFmtId="0" fontId="53" fillId="0" borderId="0" xfId="187" applyFont="1" applyFill="1" applyAlignment="1" applyProtection="1">
      <alignment horizontal="centerContinuous"/>
    </xf>
    <xf numFmtId="0" fontId="53" fillId="0" borderId="0" xfId="187" applyFont="1" applyFill="1" applyBorder="1" applyAlignment="1" applyProtection="1">
      <alignment horizontal="centerContinuous"/>
    </xf>
    <xf numFmtId="172" fontId="43" fillId="0" borderId="0" xfId="131" applyNumberFormat="1" applyFont="1" applyFill="1" applyBorder="1" applyAlignment="1" applyProtection="1">
      <alignment horizontal="centerContinuous"/>
    </xf>
    <xf numFmtId="172" fontId="55" fillId="0" borderId="0" xfId="131" applyNumberFormat="1" applyFont="1" applyFill="1" applyBorder="1" applyAlignment="1" applyProtection="1">
      <alignment horizontal="centerContinuous"/>
    </xf>
    <xf numFmtId="172" fontId="53" fillId="0" borderId="0" xfId="131" applyNumberFormat="1" applyFont="1" applyFill="1" applyBorder="1" applyAlignment="1" applyProtection="1">
      <alignment horizontal="centerContinuous"/>
    </xf>
    <xf numFmtId="172" fontId="53" fillId="0" borderId="0" xfId="131" applyNumberFormat="1" applyFont="1" applyFill="1" applyAlignment="1" applyProtection="1">
      <alignment horizontal="centerContinuous"/>
    </xf>
    <xf numFmtId="6" fontId="56" fillId="0" borderId="0" xfId="187" applyNumberFormat="1" applyFont="1" applyFill="1" applyBorder="1" applyAlignment="1" applyProtection="1">
      <alignment horizontal="centerContinuous"/>
    </xf>
    <xf numFmtId="0" fontId="43" fillId="0" borderId="0" xfId="187" applyFill="1" applyBorder="1"/>
    <xf numFmtId="0" fontId="57" fillId="0" borderId="0" xfId="187" applyFont="1" applyFill="1" applyAlignment="1" applyProtection="1">
      <alignment horizontal="centerContinuous"/>
    </xf>
    <xf numFmtId="172" fontId="43" fillId="0" borderId="0" xfId="131" applyNumberFormat="1" applyFont="1" applyFill="1" applyProtection="1"/>
    <xf numFmtId="172" fontId="43" fillId="0" borderId="0" xfId="131" applyNumberFormat="1" applyFont="1" applyFill="1" applyAlignment="1" applyProtection="1">
      <alignment horizontal="centerContinuous"/>
    </xf>
    <xf numFmtId="0" fontId="43" fillId="0" borderId="0" xfId="187" applyFont="1" applyFill="1" applyBorder="1" applyProtection="1"/>
    <xf numFmtId="6" fontId="47" fillId="0" borderId="0" xfId="187" applyNumberFormat="1" applyFont="1" applyFill="1" applyBorder="1" applyProtection="1"/>
    <xf numFmtId="0" fontId="43" fillId="0" borderId="0" xfId="187" applyFont="1" applyFill="1" applyBorder="1" applyAlignment="1" applyProtection="1">
      <alignment horizontal="center"/>
    </xf>
    <xf numFmtId="0" fontId="43" fillId="0" borderId="0" xfId="187" applyFont="1" applyFill="1" applyBorder="1" applyAlignment="1" applyProtection="1">
      <alignment horizontal="center" vertical="center"/>
    </xf>
    <xf numFmtId="0" fontId="43" fillId="0" borderId="40" xfId="187" applyFont="1" applyFill="1" applyBorder="1" applyAlignment="1" applyProtection="1">
      <alignment horizontal="centerContinuous"/>
    </xf>
    <xf numFmtId="172" fontId="43" fillId="0" borderId="40" xfId="131" applyNumberFormat="1" applyFont="1" applyFill="1" applyBorder="1" applyAlignment="1" applyProtection="1">
      <alignment horizontal="centerContinuous"/>
    </xf>
    <xf numFmtId="6" fontId="47" fillId="0" borderId="0" xfId="187" applyNumberFormat="1" applyFont="1" applyFill="1" applyBorder="1" applyAlignment="1" applyProtection="1">
      <alignment horizontal="center"/>
    </xf>
    <xf numFmtId="0" fontId="43" fillId="0" borderId="40" xfId="187" applyFont="1" applyFill="1" applyBorder="1" applyAlignment="1" applyProtection="1">
      <alignment horizontal="center"/>
    </xf>
    <xf numFmtId="172" fontId="43" fillId="0" borderId="40" xfId="131" applyNumberFormat="1" applyFont="1" applyFill="1" applyBorder="1" applyAlignment="1" applyProtection="1">
      <alignment horizontal="center"/>
    </xf>
    <xf numFmtId="170" fontId="43" fillId="0" borderId="0" xfId="187" applyNumberFormat="1" applyFont="1" applyFill="1" applyBorder="1" applyProtection="1"/>
    <xf numFmtId="6" fontId="43" fillId="0" borderId="0" xfId="187" applyNumberFormat="1" applyFont="1" applyFill="1" applyProtection="1"/>
    <xf numFmtId="0" fontId="43" fillId="0" borderId="0" xfId="187" applyFont="1" applyFill="1" applyBorder="1"/>
    <xf numFmtId="6" fontId="43" fillId="0" borderId="42" xfId="187" applyNumberFormat="1" applyFont="1" applyFill="1" applyBorder="1" applyProtection="1"/>
    <xf numFmtId="172" fontId="43" fillId="0" borderId="42" xfId="131" applyNumberFormat="1" applyFont="1" applyFill="1" applyBorder="1" applyProtection="1"/>
    <xf numFmtId="2" fontId="43" fillId="0" borderId="0" xfId="187" applyNumberFormat="1" applyFont="1" applyFill="1" applyBorder="1" applyProtection="1"/>
    <xf numFmtId="6" fontId="43" fillId="0" borderId="0" xfId="187" quotePrefix="1" applyNumberFormat="1" applyFont="1" applyFill="1" applyProtection="1"/>
    <xf numFmtId="172" fontId="43" fillId="0" borderId="0" xfId="131" applyNumberFormat="1" applyFont="1" applyFill="1" applyBorder="1" applyProtection="1"/>
    <xf numFmtId="2" fontId="43" fillId="0" borderId="0" xfId="187" applyNumberFormat="1" applyFill="1" applyBorder="1"/>
    <xf numFmtId="6" fontId="50" fillId="0" borderId="0" xfId="187" applyNumberFormat="1" applyFont="1" applyFill="1" applyProtection="1">
      <protection locked="0"/>
    </xf>
    <xf numFmtId="6" fontId="43" fillId="0" borderId="0" xfId="187" applyNumberFormat="1" applyFont="1" applyFill="1" applyBorder="1" applyProtection="1"/>
    <xf numFmtId="6" fontId="67" fillId="0" borderId="0" xfId="187" applyNumberFormat="1" applyFont="1" applyFill="1" applyProtection="1"/>
    <xf numFmtId="172" fontId="67" fillId="0" borderId="0" xfId="131" applyNumberFormat="1" applyFont="1" applyFill="1" applyProtection="1"/>
    <xf numFmtId="6" fontId="51" fillId="0" borderId="0" xfId="187" applyNumberFormat="1" applyFont="1" applyFill="1" applyProtection="1"/>
    <xf numFmtId="0" fontId="53" fillId="0" borderId="0" xfId="187" applyFont="1" applyFill="1" applyProtection="1"/>
    <xf numFmtId="6" fontId="53" fillId="0" borderId="0" xfId="187" applyNumberFormat="1" applyFont="1" applyFill="1" applyProtection="1"/>
    <xf numFmtId="172" fontId="53" fillId="0" borderId="0" xfId="131" applyNumberFormat="1" applyFont="1" applyFill="1" applyProtection="1"/>
    <xf numFmtId="6" fontId="56" fillId="0" borderId="0" xfId="187" applyNumberFormat="1" applyFont="1" applyFill="1" applyBorder="1" applyProtection="1"/>
    <xf numFmtId="172" fontId="43" fillId="0" borderId="0" xfId="131" applyNumberFormat="1" applyFont="1" applyFill="1"/>
    <xf numFmtId="6" fontId="47" fillId="0" borderId="0" xfId="187" applyNumberFormat="1" applyFont="1" applyFill="1" applyBorder="1"/>
    <xf numFmtId="172" fontId="47" fillId="0" borderId="0" xfId="131" applyNumberFormat="1" applyFont="1" applyFill="1" applyBorder="1" applyProtection="1"/>
    <xf numFmtId="172" fontId="43" fillId="0" borderId="21" xfId="131" applyNumberFormat="1" applyFont="1" applyFill="1" applyBorder="1" applyProtection="1"/>
    <xf numFmtId="0" fontId="58" fillId="0" borderId="0" xfId="187" applyFont="1" applyFill="1" applyProtection="1"/>
    <xf numFmtId="0" fontId="43" fillId="0" borderId="0" xfId="188" applyFont="1" applyFill="1"/>
    <xf numFmtId="0" fontId="0" fillId="0" borderId="0" xfId="0" applyFill="1" applyAlignment="1">
      <alignment horizontal="left"/>
    </xf>
    <xf numFmtId="0" fontId="54" fillId="0" borderId="0" xfId="187" applyFont="1" applyFill="1" applyProtection="1"/>
    <xf numFmtId="0" fontId="54" fillId="0" borderId="0" xfId="187" applyFont="1" applyFill="1" applyAlignment="1" applyProtection="1">
      <alignment horizontal="left"/>
    </xf>
    <xf numFmtId="0" fontId="43" fillId="0" borderId="0" xfId="0" applyFont="1" applyFill="1" applyProtection="1">
      <protection locked="0"/>
    </xf>
    <xf numFmtId="6" fontId="43" fillId="0" borderId="21" xfId="187" applyNumberFormat="1" applyFont="1" applyFill="1" applyBorder="1"/>
    <xf numFmtId="172" fontId="43" fillId="0" borderId="21" xfId="131" applyNumberFormat="1" applyFont="1" applyFill="1" applyBorder="1"/>
    <xf numFmtId="8" fontId="43" fillId="0" borderId="0" xfId="0" applyNumberFormat="1" applyFont="1" applyFill="1" applyProtection="1">
      <protection locked="0"/>
    </xf>
    <xf numFmtId="0" fontId="48" fillId="0" borderId="0" xfId="0" applyFont="1" applyFill="1" applyProtection="1">
      <protection locked="0"/>
    </xf>
    <xf numFmtId="0" fontId="48" fillId="0" borderId="0" xfId="187" applyFont="1" applyFill="1" applyProtection="1"/>
    <xf numFmtId="172" fontId="48" fillId="0" borderId="0" xfId="131" applyNumberFormat="1" applyFont="1" applyFill="1"/>
    <xf numFmtId="6" fontId="43" fillId="0" borderId="21" xfId="187" applyNumberFormat="1" applyFont="1" applyFill="1" applyBorder="1" applyProtection="1"/>
    <xf numFmtId="8" fontId="43" fillId="0" borderId="0" xfId="187" applyNumberFormat="1" applyFont="1" applyFill="1" applyBorder="1" applyProtection="1"/>
    <xf numFmtId="0" fontId="18" fillId="0" borderId="0" xfId="172" applyFont="1"/>
    <xf numFmtId="0" fontId="27" fillId="0" borderId="0" xfId="173" applyFont="1" applyFill="1" applyAlignment="1">
      <alignment horizontal="left" indent="1"/>
    </xf>
    <xf numFmtId="3" fontId="0" fillId="0" borderId="0" xfId="0" applyNumberFormat="1"/>
    <xf numFmtId="39" fontId="0" fillId="0" borderId="0" xfId="0" applyNumberFormat="1"/>
    <xf numFmtId="0" fontId="27" fillId="0" borderId="0" xfId="183" applyFont="1" applyAlignment="1">
      <alignment horizontal="left" indent="1"/>
    </xf>
    <xf numFmtId="0" fontId="31" fillId="0" borderId="0" xfId="183" applyFont="1" applyFill="1" applyBorder="1" applyAlignment="1">
      <alignment horizontal="left" vertical="center"/>
    </xf>
    <xf numFmtId="0" fontId="27" fillId="0" borderId="0" xfId="183" applyFont="1" applyAlignment="1">
      <alignment horizontal="left"/>
    </xf>
    <xf numFmtId="0" fontId="27" fillId="0" borderId="0" xfId="183" quotePrefix="1" applyFont="1" applyAlignment="1">
      <alignment horizontal="left"/>
    </xf>
    <xf numFmtId="0" fontId="27" fillId="0" borderId="0" xfId="183" applyFont="1" applyAlignment="1">
      <alignment horizontal="left" indent="2"/>
    </xf>
    <xf numFmtId="0" fontId="27" fillId="0" borderId="0" xfId="183" applyFont="1" applyAlignment="1">
      <alignment horizontal="left" vertical="center"/>
    </xf>
    <xf numFmtId="41" fontId="65" fillId="0" borderId="0" xfId="179" applyNumberFormat="1"/>
    <xf numFmtId="168" fontId="5" fillId="0" borderId="0" xfId="0" applyNumberFormat="1" applyFont="1" applyFill="1"/>
    <xf numFmtId="41" fontId="27" fillId="0" borderId="0" xfId="0" applyNumberFormat="1" applyFont="1" applyFill="1" applyAlignment="1">
      <alignment horizontal="left" indent="2"/>
    </xf>
    <xf numFmtId="168" fontId="27" fillId="0" borderId="0" xfId="122" applyNumberFormat="1" applyFont="1" applyFill="1"/>
    <xf numFmtId="0" fontId="24" fillId="0" borderId="0" xfId="172" applyFill="1"/>
    <xf numFmtId="0" fontId="18" fillId="0" borderId="44" xfId="172" applyFont="1" applyFill="1" applyBorder="1" applyAlignment="1">
      <alignment horizontal="center"/>
    </xf>
    <xf numFmtId="0" fontId="24" fillId="0" borderId="0" xfId="172" applyFill="1" applyAlignment="1">
      <alignment horizontal="center"/>
    </xf>
    <xf numFmtId="43" fontId="27" fillId="0" borderId="0" xfId="182" applyNumberFormat="1" applyFont="1" applyFill="1"/>
    <xf numFmtId="0" fontId="32" fillId="0" borderId="32" xfId="172" applyFont="1" applyFill="1" applyBorder="1" applyAlignment="1">
      <alignment horizontal="center" vertical="center" wrapText="1"/>
    </xf>
    <xf numFmtId="0" fontId="32" fillId="0" borderId="44" xfId="172" applyFont="1" applyFill="1" applyBorder="1" applyAlignment="1">
      <alignment horizontal="center" vertical="center" wrapText="1"/>
    </xf>
    <xf numFmtId="41" fontId="27" fillId="0" borderId="0" xfId="122" applyNumberFormat="1" applyFont="1" applyFill="1" applyAlignment="1" applyProtection="1">
      <alignment horizontal="right" indent="2"/>
    </xf>
    <xf numFmtId="41" fontId="27" fillId="0" borderId="0" xfId="122" applyNumberFormat="1" applyFont="1" applyFill="1" applyAlignment="1" applyProtection="1"/>
    <xf numFmtId="168" fontId="27" fillId="0" borderId="0" xfId="172" applyNumberFormat="1" applyFont="1" applyFill="1"/>
    <xf numFmtId="43" fontId="27" fillId="0" borderId="0" xfId="172" applyNumberFormat="1" applyFont="1" applyFill="1"/>
    <xf numFmtId="41" fontId="32" fillId="0" borderId="0" xfId="172" applyNumberFormat="1" applyFont="1" applyFill="1" applyBorder="1"/>
    <xf numFmtId="41" fontId="27" fillId="0" borderId="0" xfId="172" applyNumberFormat="1" applyFont="1" applyFill="1" applyBorder="1"/>
    <xf numFmtId="41" fontId="32" fillId="0" borderId="21" xfId="122" applyNumberFormat="1" applyFont="1" applyFill="1" applyBorder="1" applyAlignment="1">
      <alignment horizontal="right"/>
    </xf>
    <xf numFmtId="164" fontId="66" fillId="0" borderId="0" xfId="172" applyNumberFormat="1" applyFont="1" applyFill="1"/>
    <xf numFmtId="41" fontId="66" fillId="0" borderId="0" xfId="172" applyNumberFormat="1" applyFont="1" applyFill="1"/>
    <xf numFmtId="0" fontId="66" fillId="0" borderId="0" xfId="172" applyFont="1" applyFill="1"/>
    <xf numFmtId="41" fontId="37" fillId="0" borderId="0" xfId="172" applyNumberFormat="1" applyFont="1" applyFill="1"/>
    <xf numFmtId="0" fontId="32" fillId="0" borderId="33" xfId="172" applyFont="1" applyFill="1" applyBorder="1" applyAlignment="1">
      <alignment wrapText="1"/>
    </xf>
    <xf numFmtId="0" fontId="32" fillId="0" borderId="33" xfId="172" applyFont="1" applyFill="1" applyBorder="1" applyAlignment="1">
      <alignment horizontal="center" wrapText="1"/>
    </xf>
    <xf numFmtId="41" fontId="27" fillId="0" borderId="10" xfId="172" applyNumberFormat="1" applyFont="1" applyFill="1" applyBorder="1"/>
    <xf numFmtId="0" fontId="27" fillId="0" borderId="0" xfId="172" applyFont="1" applyFill="1" applyAlignment="1">
      <alignment horizontal="right"/>
    </xf>
    <xf numFmtId="10" fontId="27" fillId="0" borderId="0" xfId="200" applyNumberFormat="1" applyFont="1" applyFill="1"/>
    <xf numFmtId="42" fontId="27" fillId="0" borderId="0" xfId="200" applyNumberFormat="1" applyFont="1" applyFill="1"/>
    <xf numFmtId="42" fontId="27" fillId="0" borderId="0" xfId="172" applyNumberFormat="1" applyFont="1" applyFill="1"/>
    <xf numFmtId="0" fontId="40" fillId="0" borderId="0" xfId="183" applyFont="1" applyBorder="1" applyAlignment="1" applyProtection="1">
      <alignment horizontal="left"/>
    </xf>
    <xf numFmtId="0" fontId="27" fillId="0" borderId="0" xfId="183" applyFont="1" applyBorder="1" applyAlignment="1" applyProtection="1">
      <alignment horizontal="center"/>
    </xf>
    <xf numFmtId="0" fontId="34" fillId="0" borderId="0" xfId="183" applyFont="1" applyFill="1" applyBorder="1" applyProtection="1"/>
    <xf numFmtId="0" fontId="27" fillId="0" borderId="0" xfId="183" applyFont="1" applyFill="1" applyBorder="1"/>
    <xf numFmtId="0" fontId="27" fillId="0" borderId="0" xfId="183" applyFont="1" applyBorder="1" applyAlignment="1">
      <alignment horizontal="center"/>
    </xf>
    <xf numFmtId="0" fontId="28" fillId="0" borderId="0" xfId="183" applyFont="1" applyBorder="1" applyAlignment="1" applyProtection="1">
      <alignment horizontal="left"/>
    </xf>
    <xf numFmtId="164" fontId="27" fillId="0" borderId="0" xfId="121" applyNumberFormat="1" applyFont="1" applyBorder="1" applyAlignment="1" applyProtection="1">
      <alignment horizontal="centerContinuous"/>
    </xf>
    <xf numFmtId="0" fontId="34" fillId="0" borderId="0" xfId="183" applyFont="1" applyBorder="1" applyAlignment="1" applyProtection="1">
      <alignment horizontal="left"/>
    </xf>
    <xf numFmtId="0" fontId="34" fillId="0" borderId="0" xfId="183" applyFont="1" applyBorder="1" applyProtection="1"/>
    <xf numFmtId="0" fontId="34" fillId="0" borderId="0" xfId="183" applyFont="1" applyBorder="1" applyAlignment="1" applyProtection="1">
      <alignment horizontal="center"/>
    </xf>
    <xf numFmtId="164" fontId="27" fillId="0" borderId="0" xfId="121" applyNumberFormat="1" applyFont="1" applyBorder="1" applyProtection="1"/>
    <xf numFmtId="43" fontId="27" fillId="0" borderId="0" xfId="121" applyNumberFormat="1" applyFont="1" applyBorder="1" applyProtection="1"/>
    <xf numFmtId="0" fontId="27" fillId="0" borderId="0" xfId="183" applyFont="1" applyBorder="1" applyAlignment="1"/>
    <xf numFmtId="0" fontId="27" fillId="0" borderId="0" xfId="183" applyFont="1" applyFill="1" applyBorder="1" applyAlignment="1">
      <alignment horizontal="center" vertical="center"/>
    </xf>
    <xf numFmtId="0" fontId="34" fillId="0" borderId="0" xfId="183" applyNumberFormat="1" applyFont="1" applyFill="1" applyBorder="1" applyAlignment="1" applyProtection="1">
      <alignment horizontal="center"/>
    </xf>
    <xf numFmtId="41" fontId="27" fillId="0" borderId="0" xfId="183" applyNumberFormat="1" applyFont="1" applyFill="1" applyBorder="1" applyAlignment="1">
      <alignment horizontal="right"/>
    </xf>
    <xf numFmtId="41" fontId="27" fillId="0" borderId="0" xfId="126" applyNumberFormat="1" applyFont="1" applyFill="1" applyBorder="1" applyAlignment="1" applyProtection="1">
      <alignment horizontal="left"/>
    </xf>
    <xf numFmtId="41" fontId="27" fillId="0" borderId="0" xfId="183" applyNumberFormat="1" applyFont="1" applyFill="1" applyBorder="1"/>
    <xf numFmtId="41" fontId="27" fillId="0" borderId="0" xfId="183" applyNumberFormat="1" applyFont="1" applyFill="1" applyBorder="1" applyAlignment="1">
      <alignment horizontal="center"/>
    </xf>
    <xf numFmtId="0" fontId="27" fillId="0" borderId="0" xfId="183" applyFont="1" applyFill="1" applyBorder="1" applyAlignment="1">
      <alignment horizontal="center"/>
    </xf>
    <xf numFmtId="164" fontId="27" fillId="0" borderId="0" xfId="183" applyNumberFormat="1" applyFont="1" applyFill="1" applyBorder="1"/>
    <xf numFmtId="41" fontId="34" fillId="0" borderId="0" xfId="184" applyNumberFormat="1" applyFont="1" applyFill="1" applyBorder="1" applyAlignment="1" applyProtection="1">
      <alignment horizontal="center"/>
    </xf>
    <xf numFmtId="41" fontId="27" fillId="0" borderId="0" xfId="121" applyNumberFormat="1" applyFont="1" applyFill="1" applyBorder="1" applyAlignment="1" applyProtection="1">
      <alignment horizontal="left"/>
    </xf>
    <xf numFmtId="41" fontId="27" fillId="0" borderId="0" xfId="121" applyNumberFormat="1" applyFont="1" applyFill="1" applyBorder="1" applyProtection="1"/>
    <xf numFmtId="0" fontId="34" fillId="0" borderId="0" xfId="185" applyFont="1" applyFill="1" applyBorder="1" applyProtection="1"/>
    <xf numFmtId="0" fontId="34" fillId="0" borderId="0" xfId="184" applyNumberFormat="1" applyFont="1" applyFill="1" applyBorder="1" applyAlignment="1" applyProtection="1">
      <alignment horizontal="center"/>
    </xf>
    <xf numFmtId="0" fontId="27" fillId="0" borderId="0" xfId="183" applyFont="1" applyFill="1" applyBorder="1" applyAlignment="1">
      <alignment vertical="top"/>
    </xf>
    <xf numFmtId="0" fontId="34" fillId="0" borderId="0" xfId="183" applyFont="1" applyFill="1" applyBorder="1" applyAlignment="1" applyProtection="1">
      <alignment vertical="top" wrapText="1"/>
    </xf>
    <xf numFmtId="41" fontId="27" fillId="0" borderId="0" xfId="121" applyNumberFormat="1" applyFont="1" applyFill="1" applyBorder="1" applyAlignment="1">
      <alignment horizontal="right"/>
    </xf>
    <xf numFmtId="41" fontId="27" fillId="0" borderId="0" xfId="121" applyNumberFormat="1" applyFont="1" applyFill="1" applyBorder="1" applyAlignment="1">
      <alignment vertical="top"/>
    </xf>
    <xf numFmtId="0" fontId="27" fillId="0" borderId="0" xfId="183" applyFont="1" applyFill="1" applyBorder="1" applyAlignment="1">
      <alignment horizontal="center" vertical="top"/>
    </xf>
    <xf numFmtId="0" fontId="27" fillId="0" borderId="0" xfId="183" applyNumberFormat="1" applyFont="1" applyFill="1" applyBorder="1" applyAlignment="1" applyProtection="1">
      <alignment horizontal="center"/>
    </xf>
    <xf numFmtId="168" fontId="27" fillId="0" borderId="0" xfId="126" applyNumberFormat="1" applyFont="1" applyFill="1" applyBorder="1" applyAlignment="1" applyProtection="1">
      <alignment horizontal="left"/>
    </xf>
    <xf numFmtId="41" fontId="27" fillId="0" borderId="0" xfId="126" applyNumberFormat="1" applyFont="1" applyFill="1" applyBorder="1" applyProtection="1"/>
    <xf numFmtId="168" fontId="27" fillId="0" borderId="0" xfId="183" applyNumberFormat="1" applyFont="1" applyFill="1" applyBorder="1" applyAlignment="1">
      <alignment horizontal="right"/>
    </xf>
    <xf numFmtId="0" fontId="32" fillId="0" borderId="0" xfId="183" applyFont="1" applyFill="1" applyBorder="1"/>
    <xf numFmtId="0" fontId="32" fillId="0" borderId="0" xfId="183" applyFont="1" applyFill="1" applyBorder="1" applyAlignment="1">
      <alignment horizontal="center"/>
    </xf>
    <xf numFmtId="164" fontId="27" fillId="0" borderId="0" xfId="121" applyNumberFormat="1" applyFont="1" applyFill="1" applyBorder="1"/>
    <xf numFmtId="43" fontId="27" fillId="0" borderId="0" xfId="121" applyFont="1" applyBorder="1"/>
    <xf numFmtId="43" fontId="27" fillId="0" borderId="0" xfId="121" applyFont="1" applyFill="1" applyBorder="1" applyProtection="1"/>
    <xf numFmtId="10" fontId="27" fillId="0" borderId="0" xfId="198" applyNumberFormat="1" applyFont="1" applyFill="1" applyBorder="1" applyAlignment="1">
      <alignment horizontal="center"/>
    </xf>
    <xf numFmtId="10" fontId="27" fillId="0" borderId="0" xfId="198" applyNumberFormat="1" applyFont="1" applyFill="1" applyBorder="1" applyAlignment="1" applyProtection="1">
      <alignment horizontal="center"/>
    </xf>
    <xf numFmtId="41" fontId="34" fillId="0" borderId="0" xfId="183" applyNumberFormat="1" applyFont="1" applyFill="1" applyBorder="1" applyAlignment="1">
      <alignment horizontal="center"/>
    </xf>
    <xf numFmtId="41" fontId="27" fillId="0" borderId="0" xfId="121" applyNumberFormat="1" applyFont="1" applyFill="1" applyBorder="1" applyAlignment="1">
      <alignment horizontal="right" vertical="top"/>
    </xf>
    <xf numFmtId="41" fontId="27" fillId="0" borderId="0" xfId="183" applyNumberFormat="1" applyFont="1" applyFill="1" applyBorder="1" applyProtection="1"/>
    <xf numFmtId="41" fontId="27" fillId="0" borderId="0" xfId="183" applyNumberFormat="1" applyFont="1" applyBorder="1" applyAlignment="1">
      <alignment horizontal="center"/>
    </xf>
    <xf numFmtId="0" fontId="27" fillId="0" borderId="0" xfId="184" applyFont="1"/>
    <xf numFmtId="0" fontId="31" fillId="0" borderId="0" xfId="184" applyFont="1" applyFill="1" applyBorder="1" applyAlignment="1">
      <alignment horizontal="center"/>
    </xf>
    <xf numFmtId="0" fontId="27" fillId="0" borderId="0" xfId="184" applyFont="1" applyAlignment="1">
      <alignment horizontal="center"/>
    </xf>
    <xf numFmtId="0" fontId="27" fillId="0" borderId="0" xfId="184" applyFont="1" applyAlignment="1"/>
    <xf numFmtId="0" fontId="32" fillId="0" borderId="0" xfId="184" applyFont="1" applyAlignment="1">
      <alignment horizontal="center" vertical="center"/>
    </xf>
    <xf numFmtId="41" fontId="27" fillId="0" borderId="0" xfId="126" applyNumberFormat="1" applyFont="1" applyFill="1"/>
    <xf numFmtId="164" fontId="27" fillId="0" borderId="0" xfId="126" applyNumberFormat="1" applyFont="1" applyFill="1"/>
    <xf numFmtId="42" fontId="27" fillId="0" borderId="45" xfId="126" applyNumberFormat="1" applyFont="1" applyFill="1" applyBorder="1"/>
    <xf numFmtId="42" fontId="27" fillId="0" borderId="0" xfId="126" applyNumberFormat="1" applyFont="1" applyFill="1" applyBorder="1"/>
    <xf numFmtId="42" fontId="27" fillId="0" borderId="21" xfId="126" applyNumberFormat="1" applyFont="1" applyFill="1" applyBorder="1"/>
    <xf numFmtId="0" fontId="38" fillId="0" borderId="46" xfId="183" applyFont="1" applyFill="1" applyBorder="1" applyAlignment="1" applyProtection="1">
      <alignment vertical="center"/>
    </xf>
    <xf numFmtId="165" fontId="38" fillId="0" borderId="46" xfId="183" applyNumberFormat="1" applyFont="1" applyFill="1" applyBorder="1" applyAlignment="1" applyProtection="1">
      <alignment horizontal="center" vertical="center"/>
    </xf>
    <xf numFmtId="42" fontId="32" fillId="0" borderId="46" xfId="121" applyNumberFormat="1" applyFont="1" applyFill="1" applyBorder="1" applyAlignment="1" applyProtection="1">
      <alignment horizontal="right" vertical="center"/>
    </xf>
    <xf numFmtId="42" fontId="38" fillId="0" borderId="46" xfId="121" applyNumberFormat="1" applyFont="1" applyFill="1" applyBorder="1" applyAlignment="1" applyProtection="1">
      <alignment horizontal="right" vertical="center"/>
    </xf>
    <xf numFmtId="42" fontId="38" fillId="0" borderId="47" xfId="126" applyNumberFormat="1" applyFont="1" applyFill="1" applyBorder="1" applyAlignment="1" applyProtection="1">
      <alignment horizontal="right" vertical="center"/>
    </xf>
    <xf numFmtId="0" fontId="27" fillId="0" borderId="21" xfId="183" applyFont="1" applyFill="1" applyBorder="1"/>
    <xf numFmtId="0" fontId="27" fillId="0" borderId="21" xfId="183" applyFont="1" applyBorder="1" applyAlignment="1">
      <alignment horizontal="center"/>
    </xf>
    <xf numFmtId="0" fontId="27" fillId="0" borderId="21" xfId="183" applyFont="1" applyBorder="1"/>
    <xf numFmtId="41" fontId="27" fillId="0" borderId="0" xfId="122" applyNumberFormat="1" applyFont="1" applyFill="1" applyBorder="1"/>
    <xf numFmtId="0" fontId="38" fillId="0" borderId="0" xfId="183" applyFont="1" applyFill="1" applyBorder="1" applyAlignment="1" applyProtection="1">
      <alignment horizontal="right"/>
    </xf>
    <xf numFmtId="0" fontId="27" fillId="0" borderId="0" xfId="183" applyFont="1" applyBorder="1" applyAlignment="1">
      <alignment horizontal="right"/>
    </xf>
    <xf numFmtId="43" fontId="27" fillId="0" borderId="0" xfId="121" applyFont="1" applyAlignment="1">
      <alignment horizontal="left"/>
    </xf>
    <xf numFmtId="43" fontId="27" fillId="0" borderId="0" xfId="183" applyNumberFormat="1" applyFont="1"/>
    <xf numFmtId="40" fontId="0" fillId="0" borderId="0" xfId="123" applyNumberFormat="1" applyFont="1" applyAlignment="1">
      <alignment horizontal="center"/>
    </xf>
    <xf numFmtId="40" fontId="18" fillId="0" borderId="0" xfId="173" applyNumberFormat="1" applyAlignment="1">
      <alignment horizontal="center"/>
    </xf>
    <xf numFmtId="41" fontId="63" fillId="0" borderId="0" xfId="0" applyNumberFormat="1" applyFont="1" applyFill="1"/>
    <xf numFmtId="38" fontId="21" fillId="0" borderId="0" xfId="179" applyNumberFormat="1" applyFont="1" applyAlignment="1">
      <alignment horizontal="center"/>
    </xf>
    <xf numFmtId="38" fontId="65" fillId="0" borderId="0" xfId="179" applyNumberFormat="1"/>
    <xf numFmtId="1" fontId="65" fillId="0" borderId="0" xfId="179" applyNumberFormat="1" applyAlignment="1">
      <alignment horizontal="center"/>
    </xf>
    <xf numFmtId="1" fontId="65" fillId="0" borderId="0" xfId="179" applyNumberFormat="1"/>
    <xf numFmtId="0" fontId="0" fillId="0" borderId="0" xfId="0" applyFont="1" applyFill="1"/>
    <xf numFmtId="0" fontId="68" fillId="0" borderId="0" xfId="0" applyFont="1" applyFill="1"/>
    <xf numFmtId="164" fontId="32" fillId="0" borderId="0" xfId="121" applyNumberFormat="1" applyFont="1" applyFill="1"/>
    <xf numFmtId="0" fontId="32" fillId="0" borderId="0" xfId="172" applyFont="1" applyFill="1" applyAlignment="1">
      <alignment horizontal="center"/>
    </xf>
    <xf numFmtId="0" fontId="38" fillId="0" borderId="36" xfId="183" applyFont="1" applyFill="1" applyBorder="1" applyAlignment="1" applyProtection="1">
      <alignment horizontal="right"/>
    </xf>
    <xf numFmtId="41" fontId="32" fillId="0" borderId="36" xfId="183" applyNumberFormat="1" applyFont="1" applyFill="1" applyBorder="1" applyAlignment="1">
      <alignment horizontal="right"/>
    </xf>
    <xf numFmtId="41" fontId="38" fillId="0" borderId="25" xfId="126" applyNumberFormat="1" applyFont="1" applyFill="1" applyBorder="1" applyProtection="1"/>
    <xf numFmtId="41" fontId="32" fillId="0" borderId="37" xfId="183" applyNumberFormat="1" applyFont="1" applyFill="1" applyBorder="1" applyAlignment="1">
      <alignment horizontal="right"/>
    </xf>
    <xf numFmtId="0" fontId="38" fillId="0" borderId="30" xfId="183" applyFont="1" applyFill="1" applyBorder="1" applyAlignment="1" applyProtection="1">
      <alignment horizontal="right"/>
    </xf>
    <xf numFmtId="41" fontId="32" fillId="0" borderId="30" xfId="183" applyNumberFormat="1" applyFont="1" applyFill="1" applyBorder="1" applyAlignment="1">
      <alignment horizontal="right"/>
    </xf>
    <xf numFmtId="41" fontId="38" fillId="0" borderId="57" xfId="126" applyNumberFormat="1" applyFont="1" applyFill="1" applyBorder="1" applyProtection="1"/>
    <xf numFmtId="41" fontId="32" fillId="0" borderId="39" xfId="183" applyNumberFormat="1" applyFont="1" applyFill="1" applyBorder="1" applyAlignment="1">
      <alignment horizontal="right"/>
    </xf>
    <xf numFmtId="43" fontId="34" fillId="0" borderId="19" xfId="126" applyNumberFormat="1" applyFont="1" applyFill="1" applyBorder="1" applyAlignment="1" applyProtection="1">
      <alignment horizontal="centerContinuous" vertical="center" wrapText="1"/>
    </xf>
    <xf numFmtId="43" fontId="34" fillId="0" borderId="19" xfId="126" applyNumberFormat="1" applyFont="1" applyFill="1" applyBorder="1" applyAlignment="1" applyProtection="1">
      <alignment horizontal="center" vertical="center" wrapText="1"/>
    </xf>
    <xf numFmtId="41" fontId="38" fillId="0" borderId="30" xfId="126" applyNumberFormat="1" applyFont="1" applyFill="1" applyBorder="1" applyProtection="1"/>
    <xf numFmtId="41" fontId="32" fillId="0" borderId="58" xfId="183" applyNumberFormat="1" applyFont="1" applyFill="1" applyBorder="1" applyAlignment="1">
      <alignment horizontal="right"/>
    </xf>
    <xf numFmtId="41" fontId="38" fillId="0" borderId="0" xfId="126" applyNumberFormat="1" applyFont="1" applyFill="1" applyBorder="1" applyProtection="1"/>
    <xf numFmtId="41" fontId="32" fillId="0" borderId="0" xfId="183" applyNumberFormat="1" applyFont="1" applyFill="1" applyBorder="1" applyAlignment="1">
      <alignment horizontal="right"/>
    </xf>
    <xf numFmtId="41" fontId="38" fillId="0" borderId="36" xfId="126" applyNumberFormat="1" applyFont="1" applyFill="1" applyBorder="1" applyProtection="1"/>
    <xf numFmtId="42" fontId="38" fillId="0" borderId="21" xfId="121" applyNumberFormat="1" applyFont="1" applyFill="1" applyBorder="1"/>
    <xf numFmtId="42" fontId="32" fillId="0" borderId="21" xfId="121" applyNumberFormat="1" applyFont="1" applyFill="1" applyBorder="1"/>
    <xf numFmtId="0" fontId="34" fillId="0" borderId="0" xfId="186" applyFont="1" applyFill="1" applyProtection="1"/>
    <xf numFmtId="0" fontId="32" fillId="0" borderId="0" xfId="184" applyFont="1" applyFill="1"/>
    <xf numFmtId="0" fontId="18" fillId="0" borderId="0" xfId="173" applyNumberFormat="1" applyAlignment="1">
      <alignment horizontal="center"/>
    </xf>
    <xf numFmtId="40" fontId="21" fillId="0" borderId="0" xfId="0" applyNumberFormat="1" applyFont="1" applyAlignment="1">
      <alignment horizontal="center"/>
    </xf>
    <xf numFmtId="0" fontId="0" fillId="24" borderId="0" xfId="0" applyFont="1" applyFill="1" applyAlignment="1">
      <alignment horizontal="left" vertical="top" wrapText="1"/>
    </xf>
    <xf numFmtId="0" fontId="34" fillId="0" borderId="0" xfId="183" applyFont="1" applyFill="1" applyBorder="1" applyAlignment="1" applyProtection="1">
      <alignment vertical="center"/>
    </xf>
    <xf numFmtId="0" fontId="38" fillId="0" borderId="60" xfId="183" applyFont="1" applyFill="1" applyBorder="1" applyAlignment="1" applyProtection="1">
      <alignment horizontal="center" vertical="center"/>
    </xf>
    <xf numFmtId="0" fontId="38" fillId="0" borderId="0" xfId="183" applyFont="1" applyFill="1" applyBorder="1" applyAlignment="1" applyProtection="1">
      <alignment horizontal="center" vertical="center"/>
    </xf>
    <xf numFmtId="164" fontId="23" fillId="0" borderId="0" xfId="121" applyNumberFormat="1" applyFont="1" applyFill="1" applyBorder="1" applyAlignment="1" applyProtection="1">
      <alignment horizontal="center" vertical="center" wrapText="1"/>
    </xf>
    <xf numFmtId="164" fontId="34" fillId="0" borderId="24" xfId="126" applyNumberFormat="1" applyFont="1" applyFill="1" applyBorder="1" applyAlignment="1" applyProtection="1">
      <alignment horizontal="center" vertical="center"/>
    </xf>
    <xf numFmtId="164" fontId="34" fillId="0" borderId="0" xfId="121" applyNumberFormat="1" applyFont="1" applyFill="1" applyBorder="1" applyAlignment="1" applyProtection="1">
      <alignment horizontal="center" vertical="center"/>
    </xf>
    <xf numFmtId="0" fontId="27" fillId="0" borderId="0" xfId="183" applyFont="1" applyFill="1" applyBorder="1" applyAlignment="1">
      <alignment vertical="center"/>
    </xf>
    <xf numFmtId="0" fontId="5" fillId="0" borderId="0" xfId="0" applyNumberFormat="1" applyFont="1" applyFill="1"/>
    <xf numFmtId="0" fontId="63" fillId="0" borderId="0" xfId="0" applyNumberFormat="1" applyFont="1" applyFill="1"/>
    <xf numFmtId="168" fontId="27" fillId="0" borderId="0" xfId="126" applyNumberFormat="1" applyFont="1" applyFill="1" applyAlignment="1" applyProtection="1">
      <alignment horizontal="left"/>
    </xf>
    <xf numFmtId="0" fontId="69" fillId="0" borderId="0" xfId="172" applyFont="1"/>
    <xf numFmtId="0" fontId="69" fillId="0" borderId="0" xfId="172" applyFont="1" applyFill="1" applyAlignment="1">
      <alignment horizontal="center"/>
    </xf>
    <xf numFmtId="0" fontId="69" fillId="0" borderId="0" xfId="172" applyFont="1" applyAlignment="1">
      <alignment horizontal="center"/>
    </xf>
    <xf numFmtId="40" fontId="68" fillId="0" borderId="0" xfId="122" applyNumberFormat="1" applyFont="1" applyAlignment="1">
      <alignment horizontal="center"/>
    </xf>
    <xf numFmtId="0" fontId="69" fillId="0" borderId="0" xfId="173" applyNumberFormat="1" applyFont="1" applyAlignment="1">
      <alignment horizontal="center"/>
    </xf>
    <xf numFmtId="40" fontId="69" fillId="0" borderId="0" xfId="172" applyNumberFormat="1" applyFont="1" applyAlignment="1">
      <alignment horizontal="center"/>
    </xf>
    <xf numFmtId="40" fontId="69" fillId="0" borderId="0" xfId="172" applyNumberFormat="1" applyFont="1"/>
    <xf numFmtId="174" fontId="27" fillId="0" borderId="0" xfId="183" applyNumberFormat="1" applyFont="1" applyAlignment="1">
      <alignment horizontal="left"/>
    </xf>
    <xf numFmtId="41" fontId="32" fillId="0" borderId="0" xfId="183" applyNumberFormat="1" applyFont="1" applyBorder="1" applyAlignment="1">
      <alignment horizontal="center" vertical="center"/>
    </xf>
    <xf numFmtId="41" fontId="23" fillId="0" borderId="0" xfId="121" applyNumberFormat="1" applyFont="1" applyBorder="1"/>
    <xf numFmtId="41" fontId="27" fillId="0" borderId="0" xfId="183" applyNumberFormat="1" applyFont="1" applyAlignment="1">
      <alignment vertical="center"/>
    </xf>
    <xf numFmtId="0" fontId="32" fillId="0" borderId="0" xfId="172" applyFont="1" applyFill="1" applyAlignment="1">
      <alignment horizontal="left" indent="1"/>
    </xf>
    <xf numFmtId="0" fontId="42" fillId="0" borderId="0" xfId="172" applyFont="1" applyFill="1" applyBorder="1"/>
    <xf numFmtId="0" fontId="27" fillId="0" borderId="0" xfId="172" applyFont="1" applyFill="1" applyBorder="1"/>
    <xf numFmtId="168" fontId="37" fillId="0" borderId="0" xfId="172" applyNumberFormat="1" applyFont="1" applyFill="1" applyBorder="1"/>
    <xf numFmtId="0" fontId="32" fillId="0" borderId="0" xfId="183" applyFont="1" applyFill="1" applyAlignment="1">
      <alignment horizontal="center" vertical="center"/>
    </xf>
    <xf numFmtId="177" fontId="27" fillId="0" borderId="0" xfId="126" applyNumberFormat="1" applyFont="1" applyFill="1" applyAlignment="1" applyProtection="1">
      <alignment horizontal="left"/>
    </xf>
    <xf numFmtId="177" fontId="34" fillId="0" borderId="24" xfId="121" applyNumberFormat="1" applyFont="1" applyFill="1" applyBorder="1" applyProtection="1"/>
    <xf numFmtId="177" fontId="27" fillId="0" borderId="0" xfId="183" applyNumberFormat="1" applyFont="1" applyFill="1" applyAlignment="1">
      <alignment horizontal="right"/>
    </xf>
    <xf numFmtId="164" fontId="34" fillId="0" borderId="0" xfId="121" applyNumberFormat="1" applyFont="1" applyFill="1"/>
    <xf numFmtId="168" fontId="34" fillId="0" borderId="24" xfId="121" applyNumberFormat="1" applyFont="1" applyFill="1" applyBorder="1" applyProtection="1"/>
    <xf numFmtId="164" fontId="34" fillId="0" borderId="0" xfId="121" applyNumberFormat="1" applyFont="1" applyFill="1" applyAlignment="1" applyProtection="1">
      <alignment horizontal="centerContinuous"/>
    </xf>
    <xf numFmtId="37" fontId="38" fillId="0" borderId="11" xfId="182" applyNumberFormat="1" applyFont="1" applyFill="1" applyBorder="1" applyAlignment="1" applyProtection="1">
      <alignment horizontal="center" vertical="center" wrapText="1"/>
    </xf>
    <xf numFmtId="37" fontId="38" fillId="0" borderId="12" xfId="182" applyNumberFormat="1" applyFont="1" applyFill="1" applyBorder="1" applyAlignment="1" applyProtection="1">
      <alignment horizontal="center" vertical="center" wrapText="1"/>
    </xf>
    <xf numFmtId="37" fontId="38" fillId="0" borderId="51" xfId="182" applyNumberFormat="1" applyFont="1" applyFill="1" applyBorder="1" applyAlignment="1" applyProtection="1">
      <alignment horizontal="center" vertical="center" wrapText="1"/>
    </xf>
    <xf numFmtId="0" fontId="27" fillId="0" borderId="0" xfId="183" applyFont="1" applyFill="1" applyAlignment="1">
      <alignment horizontal="center" vertical="center"/>
    </xf>
    <xf numFmtId="41" fontId="34" fillId="0" borderId="25" xfId="126" applyNumberFormat="1" applyFont="1" applyFill="1" applyBorder="1" applyProtection="1"/>
    <xf numFmtId="168" fontId="34" fillId="0" borderId="24" xfId="126" applyNumberFormat="1" applyFont="1" applyFill="1" applyBorder="1" applyProtection="1"/>
    <xf numFmtId="41" fontId="34" fillId="0" borderId="24" xfId="126" applyNumberFormat="1" applyFont="1" applyFill="1" applyBorder="1" applyProtection="1"/>
    <xf numFmtId="164" fontId="34" fillId="0" borderId="0" xfId="126" applyNumberFormat="1" applyFont="1" applyFill="1" applyProtection="1"/>
    <xf numFmtId="164" fontId="34" fillId="0" borderId="0" xfId="126" applyNumberFormat="1" applyFont="1" applyFill="1" applyAlignment="1" applyProtection="1">
      <alignment horizontal="centerContinuous"/>
    </xf>
    <xf numFmtId="164" fontId="39" fillId="0" borderId="18" xfId="126" applyNumberFormat="1" applyFont="1" applyFill="1" applyBorder="1" applyAlignment="1" applyProtection="1">
      <alignment horizontal="center" vertical="center" wrapText="1"/>
    </xf>
    <xf numFmtId="164" fontId="39" fillId="0" borderId="17" xfId="126" applyNumberFormat="1" applyFont="1" applyFill="1" applyBorder="1" applyAlignment="1" applyProtection="1">
      <alignment horizontal="center" vertical="center" wrapText="1"/>
    </xf>
    <xf numFmtId="164" fontId="39" fillId="0" borderId="16" xfId="126" applyNumberFormat="1" applyFont="1" applyFill="1" applyBorder="1" applyAlignment="1" applyProtection="1">
      <alignment horizontal="center" vertical="center" wrapText="1"/>
    </xf>
    <xf numFmtId="164" fontId="34" fillId="0" borderId="26" xfId="126" applyNumberFormat="1" applyFont="1" applyFill="1" applyBorder="1" applyAlignment="1" applyProtection="1">
      <alignment horizontal="center" vertical="center"/>
    </xf>
    <xf numFmtId="164" fontId="23" fillId="0" borderId="23" xfId="126" applyNumberFormat="1" applyFont="1" applyFill="1" applyBorder="1" applyAlignment="1" applyProtection="1">
      <alignment horizontal="center" vertical="center" wrapText="1"/>
    </xf>
    <xf numFmtId="164" fontId="23" fillId="0" borderId="17" xfId="126" applyNumberFormat="1" applyFont="1" applyFill="1" applyBorder="1" applyAlignment="1" applyProtection="1">
      <alignment horizontal="center" vertical="center" wrapText="1"/>
    </xf>
    <xf numFmtId="164" fontId="23" fillId="0" borderId="16" xfId="126" applyNumberFormat="1" applyFont="1" applyFill="1" applyBorder="1" applyAlignment="1" applyProtection="1">
      <alignment horizontal="center" vertical="center" wrapText="1"/>
    </xf>
    <xf numFmtId="164" fontId="38" fillId="0" borderId="14" xfId="126" applyNumberFormat="1" applyFont="1" applyFill="1" applyBorder="1" applyAlignment="1" applyProtection="1">
      <alignment horizontal="center" vertical="center"/>
    </xf>
    <xf numFmtId="164" fontId="38" fillId="0" borderId="15" xfId="126" applyNumberFormat="1" applyFont="1" applyFill="1" applyBorder="1" applyAlignment="1" applyProtection="1">
      <alignment horizontal="center" vertical="center" wrapText="1"/>
    </xf>
    <xf numFmtId="164" fontId="38" fillId="0" borderId="14" xfId="126" applyNumberFormat="1" applyFont="1" applyFill="1" applyBorder="1" applyAlignment="1" applyProtection="1">
      <alignment horizontal="center" vertical="center" wrapText="1"/>
    </xf>
    <xf numFmtId="164" fontId="38" fillId="0" borderId="13" xfId="126" applyNumberFormat="1" applyFont="1" applyFill="1" applyBorder="1" applyAlignment="1" applyProtection="1">
      <alignment horizontal="center" vertical="center" wrapText="1"/>
    </xf>
    <xf numFmtId="164" fontId="38" fillId="0" borderId="24" xfId="126" applyNumberFormat="1" applyFont="1" applyFill="1" applyBorder="1" applyAlignment="1" applyProtection="1">
      <alignment horizontal="center" vertical="center"/>
    </xf>
    <xf numFmtId="164" fontId="32" fillId="0" borderId="22" xfId="126" applyNumberFormat="1" applyFont="1" applyFill="1" applyBorder="1" applyAlignment="1" applyProtection="1">
      <alignment horizontal="center" wrapText="1"/>
    </xf>
    <xf numFmtId="164" fontId="32" fillId="0" borderId="14" xfId="126" applyNumberFormat="1" applyFont="1" applyFill="1" applyBorder="1" applyAlignment="1" applyProtection="1">
      <alignment horizontal="center" wrapText="1"/>
    </xf>
    <xf numFmtId="164" fontId="32" fillId="0" borderId="13" xfId="126" applyNumberFormat="1" applyFont="1" applyFill="1" applyBorder="1" applyAlignment="1" applyProtection="1">
      <alignment horizontal="center"/>
    </xf>
    <xf numFmtId="164" fontId="38" fillId="0" borderId="25" xfId="126" applyNumberFormat="1" applyFont="1" applyFill="1" applyBorder="1" applyAlignment="1" applyProtection="1">
      <alignment horizontal="center"/>
    </xf>
    <xf numFmtId="164" fontId="32" fillId="0" borderId="55" xfId="126" applyNumberFormat="1" applyFont="1" applyFill="1" applyBorder="1" applyAlignment="1" applyProtection="1">
      <alignment horizontal="center" vertical="center"/>
    </xf>
    <xf numFmtId="164" fontId="32" fillId="0" borderId="52" xfId="126" applyNumberFormat="1" applyFont="1" applyFill="1" applyBorder="1" applyAlignment="1" applyProtection="1">
      <alignment horizontal="center" vertical="center"/>
    </xf>
    <xf numFmtId="43" fontId="34" fillId="0" borderId="0" xfId="121" applyNumberFormat="1" applyFont="1" applyFill="1" applyBorder="1" applyAlignment="1" applyProtection="1">
      <alignment horizontal="centerContinuous" vertical="center" wrapText="1"/>
    </xf>
    <xf numFmtId="164" fontId="38" fillId="0" borderId="24" xfId="121" applyNumberFormat="1" applyFont="1" applyFill="1" applyBorder="1" applyAlignment="1" applyProtection="1">
      <alignment horizontal="center" vertical="center"/>
    </xf>
    <xf numFmtId="41" fontId="34" fillId="0" borderId="0" xfId="121" applyNumberFormat="1" applyFont="1" applyFill="1"/>
    <xf numFmtId="164" fontId="27" fillId="0" borderId="0" xfId="121" applyNumberFormat="1" applyFont="1" applyFill="1" applyAlignment="1">
      <alignment horizontal="center"/>
    </xf>
    <xf numFmtId="43" fontId="34" fillId="0" borderId="19" xfId="121" applyNumberFormat="1" applyFont="1" applyFill="1" applyBorder="1" applyAlignment="1" applyProtection="1">
      <alignment horizontal="centerContinuous" vertical="center" wrapText="1"/>
    </xf>
    <xf numFmtId="0" fontId="34" fillId="0" borderId="50" xfId="184" applyFont="1" applyFill="1" applyBorder="1" applyAlignment="1" applyProtection="1">
      <alignment vertical="center"/>
    </xf>
    <xf numFmtId="0" fontId="38" fillId="0" borderId="51" xfId="184" applyFont="1" applyFill="1" applyBorder="1" applyAlignment="1" applyProtection="1">
      <alignment horizontal="center" vertical="center" wrapText="1"/>
    </xf>
    <xf numFmtId="43" fontId="38" fillId="0" borderId="52" xfId="121" applyNumberFormat="1" applyFont="1" applyFill="1" applyBorder="1" applyAlignment="1" applyProtection="1">
      <alignment horizontal="center" vertical="center" wrapText="1"/>
    </xf>
    <xf numFmtId="43" fontId="38" fillId="0" borderId="55" xfId="121" applyNumberFormat="1" applyFont="1" applyFill="1" applyBorder="1" applyAlignment="1" applyProtection="1">
      <alignment horizontal="center" vertical="center" wrapText="1"/>
    </xf>
    <xf numFmtId="43" fontId="38" fillId="0" borderId="56" xfId="121" applyNumberFormat="1" applyFont="1" applyFill="1" applyBorder="1" applyAlignment="1" applyProtection="1">
      <alignment horizontal="center" vertical="center" wrapText="1"/>
    </xf>
    <xf numFmtId="43" fontId="38" fillId="0" borderId="52" xfId="121" applyNumberFormat="1" applyFont="1" applyFill="1" applyBorder="1" applyAlignment="1" applyProtection="1">
      <alignment vertical="center" wrapText="1"/>
    </xf>
    <xf numFmtId="43" fontId="38" fillId="0" borderId="55" xfId="121" applyNumberFormat="1" applyFont="1" applyFill="1" applyBorder="1" applyAlignment="1" applyProtection="1">
      <alignment horizontal="center" vertical="center"/>
    </xf>
    <xf numFmtId="43" fontId="38" fillId="0" borderId="59" xfId="121" applyNumberFormat="1" applyFont="1" applyFill="1" applyBorder="1" applyAlignment="1" applyProtection="1">
      <alignment vertical="center" wrapText="1"/>
    </xf>
    <xf numFmtId="0" fontId="38" fillId="0" borderId="53" xfId="184" applyFont="1" applyFill="1" applyBorder="1" applyAlignment="1" applyProtection="1">
      <alignment horizontal="center"/>
    </xf>
    <xf numFmtId="0" fontId="38" fillId="0" borderId="48" xfId="184" applyFont="1" applyFill="1" applyBorder="1" applyAlignment="1" applyProtection="1">
      <alignment horizontal="center" vertical="center"/>
    </xf>
    <xf numFmtId="0" fontId="34" fillId="0" borderId="54" xfId="184" applyFont="1" applyFill="1" applyBorder="1" applyAlignment="1" applyProtection="1">
      <alignment vertical="center"/>
    </xf>
    <xf numFmtId="0" fontId="38" fillId="0" borderId="49" xfId="184" applyFont="1" applyFill="1" applyBorder="1" applyAlignment="1" applyProtection="1">
      <alignment horizontal="center" vertical="center"/>
    </xf>
    <xf numFmtId="164" fontId="38" fillId="0" borderId="52" xfId="121" applyNumberFormat="1" applyFont="1" applyFill="1" applyBorder="1" applyAlignment="1" applyProtection="1">
      <alignment vertical="center"/>
    </xf>
    <xf numFmtId="164" fontId="38" fillId="0" borderId="55" xfId="121" applyNumberFormat="1" applyFont="1" applyFill="1" applyBorder="1" applyAlignment="1" applyProtection="1">
      <alignment horizontal="center" vertical="center"/>
    </xf>
    <xf numFmtId="164" fontId="38" fillId="0" borderId="55" xfId="121" applyNumberFormat="1" applyFont="1" applyFill="1" applyBorder="1" applyAlignment="1" applyProtection="1">
      <alignment vertical="center"/>
    </xf>
    <xf numFmtId="164" fontId="38" fillId="0" borderId="25" xfId="121" applyNumberFormat="1" applyFont="1" applyFill="1" applyBorder="1" applyAlignment="1" applyProtection="1">
      <alignment horizontal="center" vertical="center"/>
    </xf>
    <xf numFmtId="164" fontId="38" fillId="0" borderId="13" xfId="121" applyNumberFormat="1" applyFont="1" applyFill="1" applyBorder="1" applyAlignment="1" applyProtection="1">
      <alignment horizontal="center"/>
    </xf>
    <xf numFmtId="164" fontId="38" fillId="0" borderId="14" xfId="121" applyNumberFormat="1" applyFont="1" applyFill="1" applyBorder="1" applyAlignment="1" applyProtection="1">
      <alignment horizontal="center" wrapText="1"/>
    </xf>
    <xf numFmtId="164" fontId="38" fillId="0" borderId="22" xfId="121" applyNumberFormat="1" applyFont="1" applyFill="1" applyBorder="1" applyAlignment="1" applyProtection="1">
      <alignment horizontal="centerContinuous" wrapText="1"/>
    </xf>
    <xf numFmtId="164" fontId="38" fillId="0" borderId="24" xfId="121" applyNumberFormat="1" applyFont="1" applyFill="1" applyBorder="1" applyAlignment="1" applyProtection="1">
      <alignment horizontal="center" vertical="center" wrapText="1"/>
    </xf>
    <xf numFmtId="164" fontId="38" fillId="0" borderId="13" xfId="121" applyNumberFormat="1" applyFont="1" applyFill="1" applyBorder="1" applyAlignment="1" applyProtection="1">
      <alignment horizontal="center" vertical="center" wrapText="1"/>
    </xf>
    <xf numFmtId="164" fontId="38" fillId="0" borderId="14" xfId="121" applyNumberFormat="1" applyFont="1" applyFill="1" applyBorder="1" applyAlignment="1" applyProtection="1">
      <alignment horizontal="center" vertical="center"/>
    </xf>
    <xf numFmtId="164" fontId="38" fillId="0" borderId="15" xfId="121" applyNumberFormat="1" applyFont="1" applyFill="1" applyBorder="1" applyAlignment="1" applyProtection="1">
      <alignment horizontal="center" vertical="center" wrapText="1"/>
    </xf>
    <xf numFmtId="164" fontId="39" fillId="0" borderId="16" xfId="121" applyNumberFormat="1" applyFont="1" applyFill="1" applyBorder="1" applyAlignment="1" applyProtection="1">
      <alignment horizontal="center" vertical="center" wrapText="1"/>
    </xf>
    <xf numFmtId="164" fontId="39" fillId="0" borderId="17" xfId="121" applyNumberFormat="1" applyFont="1" applyFill="1" applyBorder="1" applyAlignment="1" applyProtection="1">
      <alignment horizontal="center" vertical="center" wrapText="1"/>
    </xf>
    <xf numFmtId="164" fontId="39" fillId="0" borderId="23" xfId="121" applyNumberFormat="1" applyFont="1" applyFill="1" applyBorder="1" applyAlignment="1" applyProtection="1">
      <alignment horizontal="center" vertical="center" wrapText="1"/>
    </xf>
    <xf numFmtId="164" fontId="38" fillId="0" borderId="26" xfId="121" applyNumberFormat="1" applyFont="1" applyFill="1" applyBorder="1" applyAlignment="1" applyProtection="1">
      <alignment horizontal="center" vertical="center"/>
    </xf>
    <xf numFmtId="164" fontId="39" fillId="0" borderId="18" xfId="121" applyNumberFormat="1" applyFont="1" applyFill="1" applyBorder="1" applyAlignment="1" applyProtection="1">
      <alignment horizontal="center" vertical="center" wrapText="1"/>
    </xf>
    <xf numFmtId="41" fontId="34" fillId="0" borderId="24" xfId="121" applyNumberFormat="1" applyFont="1" applyFill="1" applyBorder="1" applyProtection="1"/>
    <xf numFmtId="42" fontId="38" fillId="0" borderId="45" xfId="121" applyNumberFormat="1" applyFont="1" applyFill="1" applyBorder="1"/>
    <xf numFmtId="0" fontId="35" fillId="0" borderId="0" xfId="173" applyFont="1" applyFill="1" applyAlignment="1">
      <alignment horizontal="center"/>
    </xf>
    <xf numFmtId="3" fontId="43" fillId="0" borderId="10" xfId="125" applyNumberFormat="1" applyFont="1" applyFill="1" applyBorder="1" applyAlignment="1" applyProtection="1"/>
    <xf numFmtId="3" fontId="43" fillId="0" borderId="0" xfId="187" applyNumberFormat="1" applyFont="1" applyFill="1" applyAlignment="1">
      <alignment horizontal="left"/>
    </xf>
    <xf numFmtId="0" fontId="43" fillId="0" borderId="0" xfId="187" applyFill="1" applyAlignment="1">
      <alignment horizontal="center"/>
    </xf>
    <xf numFmtId="3" fontId="43" fillId="0" borderId="0" xfId="125" applyNumberFormat="1" applyFont="1" applyFill="1" applyAlignment="1"/>
    <xf numFmtId="3" fontId="43" fillId="0" borderId="0" xfId="125" applyNumberFormat="1" applyFont="1" applyFill="1" applyBorder="1" applyAlignment="1"/>
    <xf numFmtId="0" fontId="48" fillId="0" borderId="0" xfId="187" applyFont="1" applyFill="1" applyAlignment="1">
      <alignment horizontal="center"/>
    </xf>
    <xf numFmtId="3" fontId="43" fillId="0" borderId="0" xfId="125" applyNumberFormat="1" applyFont="1" applyFill="1"/>
    <xf numFmtId="3" fontId="43" fillId="0" borderId="0" xfId="125" applyNumberFormat="1" applyFont="1" applyFill="1" applyBorder="1"/>
    <xf numFmtId="0" fontId="43" fillId="0" borderId="0" xfId="187" applyFont="1" applyFill="1" applyAlignment="1">
      <alignment horizontal="right"/>
    </xf>
    <xf numFmtId="0" fontId="54" fillId="0" borderId="0" xfId="187" applyFont="1" applyFill="1" applyAlignment="1">
      <alignment horizontal="right"/>
    </xf>
    <xf numFmtId="39" fontId="43" fillId="0" borderId="41" xfId="125" applyNumberFormat="1" applyFont="1" applyFill="1" applyBorder="1" applyAlignment="1" applyProtection="1"/>
    <xf numFmtId="3" fontId="43" fillId="0" borderId="41" xfId="125" applyNumberFormat="1" applyFont="1" applyFill="1" applyBorder="1" applyAlignment="1" applyProtection="1"/>
    <xf numFmtId="3" fontId="43" fillId="0" borderId="0" xfId="187" applyNumberFormat="1" applyFill="1" applyAlignment="1"/>
    <xf numFmtId="39" fontId="47" fillId="0" borderId="10" xfId="125" applyNumberFormat="1" applyFont="1" applyFill="1" applyBorder="1"/>
    <xf numFmtId="39" fontId="43" fillId="0" borderId="0" xfId="187" applyNumberFormat="1" applyFont="1" applyFill="1" applyAlignment="1">
      <alignment horizontal="left"/>
    </xf>
    <xf numFmtId="39" fontId="47" fillId="0" borderId="10" xfId="125" applyNumberFormat="1" applyFont="1" applyFill="1" applyBorder="1" applyAlignment="1" applyProtection="1"/>
    <xf numFmtId="39" fontId="43" fillId="0" borderId="10" xfId="125" applyNumberFormat="1" applyFont="1" applyFill="1" applyBorder="1"/>
    <xf numFmtId="167" fontId="48" fillId="0" borderId="21" xfId="125" applyNumberFormat="1" applyFont="1" applyFill="1" applyBorder="1" applyAlignment="1" applyProtection="1"/>
    <xf numFmtId="4" fontId="47" fillId="0" borderId="0" xfId="125" applyNumberFormat="1" applyFont="1" applyFill="1"/>
    <xf numFmtId="39" fontId="48" fillId="0" borderId="21" xfId="125" quotePrefix="1" applyNumberFormat="1" applyFont="1" applyFill="1" applyBorder="1"/>
    <xf numFmtId="4" fontId="43" fillId="0" borderId="0" xfId="125" applyNumberFormat="1" applyFont="1" applyFill="1" applyBorder="1" applyProtection="1"/>
    <xf numFmtId="4" fontId="43" fillId="0" borderId="10" xfId="125" applyNumberFormat="1" applyFont="1" applyFill="1" applyBorder="1" applyProtection="1"/>
    <xf numFmtId="0" fontId="43" fillId="0" borderId="0" xfId="187" applyFont="1" applyAlignment="1">
      <alignment horizontal="center"/>
    </xf>
    <xf numFmtId="0" fontId="44" fillId="0" borderId="0" xfId="187" applyFont="1" applyFill="1" applyAlignment="1" applyProtection="1">
      <alignment horizontal="left"/>
    </xf>
    <xf numFmtId="0" fontId="43" fillId="0" borderId="0" xfId="187" applyFont="1" applyFill="1" applyAlignment="1">
      <alignment horizontal="center"/>
    </xf>
    <xf numFmtId="39" fontId="43" fillId="0" borderId="0" xfId="187" applyNumberFormat="1" applyFont="1" applyFill="1"/>
    <xf numFmtId="4" fontId="43" fillId="0" borderId="0" xfId="187" applyNumberFormat="1" applyFont="1" applyFill="1" applyBorder="1"/>
    <xf numFmtId="3" fontId="43" fillId="0" borderId="0" xfId="187" applyNumberFormat="1" applyFont="1" applyFill="1" applyAlignment="1"/>
    <xf numFmtId="39" fontId="43" fillId="0" borderId="0" xfId="187" applyNumberFormat="1" applyFont="1" applyFill="1" applyBorder="1"/>
    <xf numFmtId="3" fontId="43" fillId="0" borderId="0" xfId="187" applyNumberFormat="1" applyFont="1" applyFill="1" applyBorder="1"/>
    <xf numFmtId="4" fontId="48" fillId="0" borderId="21" xfId="125" quotePrefix="1" applyNumberFormat="1" applyFont="1" applyFill="1" applyBorder="1"/>
    <xf numFmtId="4" fontId="43" fillId="0" borderId="0" xfId="187" applyNumberFormat="1" applyAlignment="1"/>
    <xf numFmtId="4" fontId="0" fillId="0" borderId="0" xfId="0" applyNumberFormat="1"/>
    <xf numFmtId="4" fontId="43" fillId="0" borderId="40" xfId="187" applyNumberFormat="1" applyFont="1" applyFill="1" applyBorder="1" applyAlignment="1" applyProtection="1">
      <alignment horizontal="left"/>
    </xf>
    <xf numFmtId="4" fontId="43" fillId="0" borderId="0" xfId="187" applyNumberFormat="1" applyFont="1" applyFill="1" applyAlignment="1" applyProtection="1">
      <alignment horizontal="center"/>
    </xf>
    <xf numFmtId="39" fontId="43" fillId="0" borderId="0" xfId="125" applyNumberFormat="1" applyFont="1" applyFill="1" applyBorder="1" applyProtection="1"/>
    <xf numFmtId="39" fontId="43" fillId="0" borderId="0" xfId="125" applyNumberFormat="1" applyFont="1" applyFill="1" applyAlignment="1" applyProtection="1">
      <alignment horizontal="center"/>
    </xf>
    <xf numFmtId="39" fontId="43" fillId="0" borderId="10" xfId="125" applyNumberFormat="1" applyFont="1" applyFill="1" applyBorder="1" applyAlignment="1" applyProtection="1"/>
    <xf numFmtId="39" fontId="43" fillId="0" borderId="0" xfId="125" applyNumberFormat="1" applyFont="1" applyFill="1" applyAlignment="1" applyProtection="1">
      <alignment horizontal="right"/>
    </xf>
    <xf numFmtId="39" fontId="43" fillId="0" borderId="10" xfId="125" applyNumberFormat="1" applyFont="1" applyFill="1" applyBorder="1" applyAlignment="1" applyProtection="1">
      <alignment horizontal="right"/>
    </xf>
    <xf numFmtId="4" fontId="43" fillId="0" borderId="0" xfId="187" applyNumberFormat="1" applyFont="1" applyFill="1" applyBorder="1" applyAlignment="1" applyProtection="1">
      <alignment horizontal="right"/>
    </xf>
    <xf numFmtId="4" fontId="47" fillId="0" borderId="0" xfId="125" applyNumberFormat="1" applyFont="1" applyFill="1" applyBorder="1" applyAlignment="1" applyProtection="1">
      <alignment horizontal="right"/>
    </xf>
    <xf numFmtId="39" fontId="43" fillId="0" borderId="10" xfId="125" applyNumberFormat="1" applyFont="1" applyFill="1" applyBorder="1" applyAlignment="1">
      <alignment horizontal="center"/>
    </xf>
    <xf numFmtId="4" fontId="43" fillId="0" borderId="0" xfId="187" applyNumberFormat="1" applyFont="1" applyFill="1"/>
    <xf numFmtId="0" fontId="88" fillId="0" borderId="0" xfId="0" applyFont="1"/>
    <xf numFmtId="2" fontId="43" fillId="0" borderId="0" xfId="187" applyNumberFormat="1" applyFont="1" applyFill="1" applyBorder="1"/>
    <xf numFmtId="39" fontId="43" fillId="0" borderId="0" xfId="187" applyNumberFormat="1" applyFont="1" applyFill="1" applyBorder="1" applyProtection="1">
      <protection locked="0"/>
    </xf>
    <xf numFmtId="37" fontId="43" fillId="0" borderId="0" xfId="187" applyNumberFormat="1" applyFont="1" applyFill="1" applyBorder="1" applyProtection="1">
      <protection locked="0"/>
    </xf>
    <xf numFmtId="37" fontId="43" fillId="0" borderId="0" xfId="187" applyNumberFormat="1" applyFont="1" applyFill="1" applyBorder="1" applyProtection="1"/>
    <xf numFmtId="37" fontId="43" fillId="0" borderId="0" xfId="187" applyNumberFormat="1" applyFont="1" applyFill="1" applyBorder="1"/>
    <xf numFmtId="37" fontId="43" fillId="0" borderId="0" xfId="187" applyNumberFormat="1" applyFont="1" applyFill="1" applyBorder="1" applyAlignment="1" applyProtection="1">
      <alignment horizontal="right"/>
    </xf>
    <xf numFmtId="37" fontId="53" fillId="0" borderId="0" xfId="187" applyNumberFormat="1" applyFont="1" applyFill="1" applyBorder="1" applyProtection="1"/>
    <xf numFmtId="37" fontId="43" fillId="0" borderId="0" xfId="187" quotePrefix="1" applyNumberFormat="1" applyFont="1" applyFill="1" applyBorder="1" applyProtection="1">
      <protection locked="0"/>
    </xf>
    <xf numFmtId="37" fontId="48" fillId="0" borderId="0" xfId="187" applyNumberFormat="1" applyFont="1" applyFill="1" applyBorder="1" applyProtection="1">
      <protection locked="0"/>
    </xf>
    <xf numFmtId="0" fontId="48" fillId="0" borderId="42" xfId="187" applyFont="1" applyFill="1" applyBorder="1" applyAlignment="1" applyProtection="1">
      <alignment horizontal="left"/>
    </xf>
    <xf numFmtId="6" fontId="48" fillId="0" borderId="42" xfId="187" applyNumberFormat="1" applyFont="1" applyFill="1" applyBorder="1" applyProtection="1"/>
    <xf numFmtId="172" fontId="48" fillId="0" borderId="42" xfId="131" applyNumberFormat="1" applyFont="1" applyFill="1" applyBorder="1" applyProtection="1"/>
    <xf numFmtId="0" fontId="45" fillId="0" borderId="0" xfId="187" applyFont="1" applyFill="1" applyProtection="1"/>
    <xf numFmtId="0" fontId="48" fillId="0" borderId="42" xfId="187" applyFont="1" applyFill="1" applyBorder="1" applyProtection="1"/>
    <xf numFmtId="0" fontId="48" fillId="0" borderId="42" xfId="187" applyFont="1" applyFill="1" applyBorder="1" applyAlignment="1" applyProtection="1"/>
    <xf numFmtId="0" fontId="48" fillId="0" borderId="0" xfId="187" applyFont="1" applyFill="1" applyAlignment="1" applyProtection="1"/>
    <xf numFmtId="6" fontId="49" fillId="0" borderId="43" xfId="187" applyNumberFormat="1" applyFont="1" applyFill="1" applyBorder="1" applyProtection="1"/>
    <xf numFmtId="172" fontId="49" fillId="0" borderId="43" xfId="131" applyNumberFormat="1" applyFont="1" applyFill="1" applyBorder="1" applyProtection="1"/>
    <xf numFmtId="6" fontId="48" fillId="0" borderId="21" xfId="198" applyNumberFormat="1" applyFont="1" applyFill="1" applyBorder="1" applyProtection="1"/>
    <xf numFmtId="5" fontId="48" fillId="0" borderId="21" xfId="198" applyNumberFormat="1" applyFont="1" applyFill="1" applyBorder="1" applyProtection="1"/>
    <xf numFmtId="172" fontId="48" fillId="0" borderId="21" xfId="131" applyNumberFormat="1" applyFont="1" applyFill="1" applyBorder="1" applyProtection="1"/>
    <xf numFmtId="0" fontId="48" fillId="0" borderId="41" xfId="187" applyFont="1" applyFill="1" applyBorder="1" applyProtection="1"/>
    <xf numFmtId="6" fontId="48" fillId="0" borderId="41" xfId="187" applyNumberFormat="1" applyFont="1" applyFill="1" applyBorder="1" applyProtection="1"/>
    <xf numFmtId="172" fontId="48" fillId="0" borderId="41" xfId="131" applyNumberFormat="1" applyFont="1" applyFill="1" applyBorder="1" applyProtection="1"/>
    <xf numFmtId="172" fontId="48" fillId="0" borderId="41" xfId="131" applyNumberFormat="1" applyFont="1" applyFill="1" applyBorder="1"/>
    <xf numFmtId="172" fontId="48" fillId="0" borderId="41" xfId="131" applyNumberFormat="1" applyFont="1" applyFill="1" applyBorder="1" applyAlignment="1" applyProtection="1">
      <alignment horizontal="center"/>
    </xf>
    <xf numFmtId="0" fontId="48" fillId="0" borderId="21" xfId="187" applyFont="1" applyFill="1" applyBorder="1"/>
    <xf numFmtId="0" fontId="43" fillId="0" borderId="0" xfId="187" applyFont="1" applyFill="1" applyBorder="1" applyAlignment="1">
      <alignment horizontal="center"/>
    </xf>
    <xf numFmtId="37" fontId="48" fillId="0" borderId="21" xfId="125" applyNumberFormat="1" applyFont="1" applyFill="1" applyBorder="1" applyAlignment="1" applyProtection="1"/>
    <xf numFmtId="37" fontId="48" fillId="0" borderId="21" xfId="125" applyNumberFormat="1" applyFont="1" applyFill="1" applyBorder="1"/>
    <xf numFmtId="37" fontId="48" fillId="0" borderId="21" xfId="125" quotePrefix="1" applyNumberFormat="1" applyFont="1" applyFill="1" applyBorder="1"/>
    <xf numFmtId="40" fontId="0" fillId="0" borderId="0" xfId="0" applyNumberFormat="1" applyFill="1" applyAlignment="1">
      <alignment horizontal="center"/>
    </xf>
    <xf numFmtId="164" fontId="0" fillId="0" borderId="0" xfId="121" applyNumberFormat="1" applyFont="1" applyFill="1"/>
    <xf numFmtId="164" fontId="33" fillId="0" borderId="0" xfId="121" applyNumberFormat="1" applyFont="1" applyFill="1"/>
    <xf numFmtId="39" fontId="0" fillId="0" borderId="0" xfId="0" applyNumberFormat="1" applyFill="1" applyAlignment="1">
      <alignment horizontal="center"/>
    </xf>
    <xf numFmtId="0" fontId="21" fillId="0" borderId="0" xfId="0" applyFont="1" applyAlignment="1">
      <alignment horizontal="center" wrapText="1"/>
    </xf>
    <xf numFmtId="0" fontId="5" fillId="0" borderId="0" xfId="0" applyFont="1" applyFill="1"/>
    <xf numFmtId="0" fontId="5" fillId="0" borderId="0" xfId="0" applyFont="1" applyFill="1" applyAlignment="1">
      <alignment horizontal="center"/>
    </xf>
    <xf numFmtId="0" fontId="5" fillId="0" borderId="0" xfId="0" applyNumberFormat="1" applyFont="1" applyFill="1" applyAlignment="1">
      <alignment horizontal="center"/>
    </xf>
    <xf numFmtId="37" fontId="43" fillId="0" borderId="0" xfId="187" applyNumberFormat="1" applyFont="1" applyFill="1" applyBorder="1" applyAlignment="1" applyProtection="1">
      <alignment horizontal="center"/>
    </xf>
    <xf numFmtId="0" fontId="53" fillId="0" borderId="0" xfId="187" applyFont="1" applyFill="1" applyBorder="1" applyAlignment="1" applyProtection="1">
      <alignment horizontal="centerContinuous"/>
    </xf>
    <xf numFmtId="0" fontId="43" fillId="0" borderId="0" xfId="187" applyFont="1" applyFill="1" applyBorder="1" applyAlignment="1" applyProtection="1">
      <alignment horizontal="center"/>
    </xf>
    <xf numFmtId="0" fontId="43" fillId="0" borderId="0" xfId="187" applyFont="1" applyFill="1" applyBorder="1"/>
    <xf numFmtId="37" fontId="53" fillId="0" borderId="0" xfId="187" applyNumberFormat="1" applyFont="1" applyFill="1" applyBorder="1" applyAlignment="1" applyProtection="1">
      <alignment horizontal="center"/>
    </xf>
    <xf numFmtId="0" fontId="0" fillId="0" borderId="0" xfId="0" applyFont="1" applyFill="1"/>
    <xf numFmtId="0" fontId="0" fillId="0" borderId="0" xfId="0" applyBorder="1"/>
    <xf numFmtId="0" fontId="88" fillId="0" borderId="0" xfId="0" applyFont="1"/>
    <xf numFmtId="37" fontId="43" fillId="0" borderId="0" xfId="187" applyNumberFormat="1" applyFont="1" applyFill="1" applyBorder="1" applyAlignment="1" applyProtection="1">
      <alignment horizontal="center"/>
      <protection locked="0"/>
    </xf>
    <xf numFmtId="0" fontId="64" fillId="0" borderId="0" xfId="0" applyFont="1" applyFill="1"/>
    <xf numFmtId="0" fontId="5" fillId="0" borderId="20" xfId="0" applyFont="1" applyFill="1" applyBorder="1" applyAlignment="1">
      <alignment horizontal="center"/>
    </xf>
    <xf numFmtId="0" fontId="63" fillId="0" borderId="0" xfId="0" applyFont="1" applyFill="1"/>
    <xf numFmtId="0" fontId="63" fillId="0" borderId="0" xfId="0" applyFont="1" applyFill="1" applyAlignment="1">
      <alignment horizontal="center"/>
    </xf>
    <xf numFmtId="166" fontId="0" fillId="0" borderId="0" xfId="0" applyNumberFormat="1" applyBorder="1" applyAlignment="1">
      <alignment horizontal="center"/>
    </xf>
    <xf numFmtId="41" fontId="27" fillId="0" borderId="10" xfId="121" applyNumberFormat="1" applyFont="1" applyBorder="1"/>
    <xf numFmtId="41" fontId="27" fillId="0" borderId="0" xfId="121" applyNumberFormat="1" applyFont="1" applyBorder="1"/>
    <xf numFmtId="41" fontId="27" fillId="0" borderId="0" xfId="121" applyNumberFormat="1" applyFont="1" applyFill="1" applyBorder="1"/>
    <xf numFmtId="41" fontId="27" fillId="0" borderId="10" xfId="121" applyNumberFormat="1" applyFont="1" applyFill="1" applyBorder="1"/>
    <xf numFmtId="166" fontId="27" fillId="0" borderId="10" xfId="198" applyNumberFormat="1" applyFont="1" applyBorder="1" applyAlignment="1">
      <alignment horizontal="left" indent="3"/>
    </xf>
    <xf numFmtId="166" fontId="27" fillId="0" borderId="0" xfId="198" applyNumberFormat="1" applyFont="1" applyBorder="1" applyAlignment="1">
      <alignment horizontal="left" indent="3"/>
    </xf>
    <xf numFmtId="166" fontId="32" fillId="0" borderId="31" xfId="198" applyNumberFormat="1" applyFont="1" applyBorder="1" applyAlignment="1">
      <alignment horizontal="center" vertical="center"/>
    </xf>
    <xf numFmtId="3" fontId="0" fillId="0" borderId="0" xfId="0" applyNumberFormat="1" applyBorder="1" applyAlignment="1">
      <alignment horizontal="center"/>
    </xf>
    <xf numFmtId="0" fontId="24" fillId="0" borderId="34" xfId="172" applyFill="1" applyBorder="1"/>
    <xf numFmtId="3" fontId="21" fillId="0" borderId="0" xfId="0" applyNumberFormat="1" applyFont="1" applyBorder="1" applyAlignment="1">
      <alignment horizontal="center" vertical="center"/>
    </xf>
    <xf numFmtId="166" fontId="21" fillId="0" borderId="0" xfId="0" applyNumberFormat="1" applyFont="1" applyBorder="1" applyAlignment="1">
      <alignment horizontal="center" vertical="center"/>
    </xf>
    <xf numFmtId="166" fontId="21" fillId="0" borderId="0" xfId="198" applyNumberFormat="1" applyFont="1" applyBorder="1" applyAlignment="1">
      <alignment horizontal="center" vertical="center"/>
    </xf>
    <xf numFmtId="166" fontId="32" fillId="0" borderId="33" xfId="184" applyNumberFormat="1" applyFont="1" applyFill="1" applyBorder="1" applyAlignment="1">
      <alignment horizontal="center" vertical="center" wrapText="1"/>
    </xf>
    <xf numFmtId="166" fontId="87" fillId="0" borderId="0" xfId="646" applyNumberFormat="1"/>
    <xf numFmtId="166" fontId="27" fillId="0" borderId="0" xfId="184" applyNumberFormat="1" applyFont="1" applyFill="1" applyAlignment="1">
      <alignment horizontal="left" indent="1"/>
    </xf>
    <xf numFmtId="0" fontId="87" fillId="0" borderId="0" xfId="646"/>
    <xf numFmtId="0" fontId="27" fillId="0" borderId="0" xfId="184" applyFont="1" applyFill="1"/>
    <xf numFmtId="0" fontId="27" fillId="0" borderId="0" xfId="184" applyFont="1" applyFill="1" applyBorder="1"/>
    <xf numFmtId="0" fontId="32" fillId="0" borderId="33" xfId="184" applyFont="1" applyFill="1" applyBorder="1" applyAlignment="1">
      <alignment horizontal="center" vertical="center" wrapText="1"/>
    </xf>
    <xf numFmtId="164" fontId="32" fillId="0" borderId="33" xfId="121" applyNumberFormat="1" applyFont="1" applyFill="1" applyBorder="1" applyAlignment="1">
      <alignment horizontal="center" vertical="center" wrapText="1"/>
    </xf>
    <xf numFmtId="0" fontId="27" fillId="0" borderId="33" xfId="184" applyFont="1" applyFill="1" applyBorder="1" applyAlignment="1">
      <alignment horizontal="center" vertical="center"/>
    </xf>
    <xf numFmtId="0" fontId="27" fillId="0" borderId="0" xfId="184" applyFont="1" applyFill="1" applyAlignment="1">
      <alignment horizontal="centerContinuous"/>
    </xf>
    <xf numFmtId="0" fontId="41" fillId="0" borderId="66" xfId="184" applyFont="1" applyFill="1" applyBorder="1" applyAlignment="1">
      <alignment horizontal="centerContinuous"/>
    </xf>
    <xf numFmtId="0" fontId="41" fillId="0" borderId="42" xfId="184" applyFont="1" applyFill="1" applyBorder="1" applyAlignment="1">
      <alignment horizontal="centerContinuous"/>
    </xf>
    <xf numFmtId="0" fontId="41" fillId="0" borderId="42" xfId="184" applyFont="1" applyFill="1" applyBorder="1" applyAlignment="1">
      <alignment horizontal="left"/>
    </xf>
    <xf numFmtId="0" fontId="27" fillId="0" borderId="0" xfId="184" quotePrefix="1" applyFont="1" applyFill="1" applyAlignment="1">
      <alignment horizontal="left"/>
    </xf>
    <xf numFmtId="0" fontId="27" fillId="0" borderId="0" xfId="184" applyFont="1" applyFill="1" applyAlignment="1">
      <alignment horizontal="right"/>
    </xf>
    <xf numFmtId="0" fontId="23" fillId="0" borderId="0" xfId="184" applyFont="1" applyFill="1" applyAlignment="1">
      <alignment horizontal="center" vertical="center"/>
    </xf>
    <xf numFmtId="0" fontId="35" fillId="0" borderId="0" xfId="184" applyFont="1" applyFill="1" applyAlignment="1" applyProtection="1">
      <alignment vertical="center"/>
    </xf>
    <xf numFmtId="0" fontId="31" fillId="0" borderId="0" xfId="184" applyFont="1" applyFill="1" applyBorder="1" applyAlignment="1">
      <alignment horizontal="left" vertical="center"/>
    </xf>
    <xf numFmtId="0" fontId="32" fillId="0" borderId="0" xfId="184" applyFont="1" applyFill="1" applyAlignment="1">
      <alignment horizontal="right"/>
    </xf>
    <xf numFmtId="0" fontId="27" fillId="0" borderId="0" xfId="184" applyFont="1" applyFill="1" applyBorder="1" applyAlignment="1">
      <alignment horizontal="left" indent="2"/>
    </xf>
    <xf numFmtId="0" fontId="32" fillId="0" borderId="0" xfId="184" applyFont="1" applyFill="1" applyBorder="1" applyAlignment="1">
      <alignment horizontal="left"/>
    </xf>
    <xf numFmtId="0" fontId="32" fillId="0" borderId="0" xfId="184" applyFont="1" applyFill="1" applyBorder="1"/>
    <xf numFmtId="0" fontId="27" fillId="0" borderId="0" xfId="184" applyFont="1" applyFill="1" applyBorder="1" applyAlignment="1">
      <alignment horizontal="left"/>
    </xf>
    <xf numFmtId="0" fontId="27" fillId="0" borderId="0" xfId="184" applyFont="1" applyFill="1" applyBorder="1" applyAlignment="1">
      <alignment horizontal="right" wrapText="1"/>
    </xf>
    <xf numFmtId="0" fontId="32" fillId="0" borderId="0" xfId="184" applyFont="1" applyFill="1" applyBorder="1" applyAlignment="1">
      <alignment horizontal="left" wrapText="1"/>
    </xf>
    <xf numFmtId="0" fontId="0" fillId="0" borderId="0" xfId="0"/>
    <xf numFmtId="3" fontId="0" fillId="0" borderId="0" xfId="0" applyNumberFormat="1"/>
    <xf numFmtId="166" fontId="0" fillId="0" borderId="0" xfId="0" applyNumberFormat="1"/>
    <xf numFmtId="0" fontId="87" fillId="0" borderId="0" xfId="646"/>
    <xf numFmtId="0" fontId="27" fillId="0" borderId="0" xfId="184" applyFont="1" applyFill="1" applyBorder="1"/>
    <xf numFmtId="0" fontId="32" fillId="0" borderId="33" xfId="184" applyFont="1" applyFill="1" applyBorder="1" applyAlignment="1">
      <alignment horizontal="center" vertical="center" wrapText="1"/>
    </xf>
    <xf numFmtId="164" fontId="32" fillId="0" borderId="33" xfId="121" applyNumberFormat="1" applyFont="1" applyFill="1" applyBorder="1" applyAlignment="1">
      <alignment horizontal="center" vertical="center" wrapText="1"/>
    </xf>
    <xf numFmtId="0" fontId="27" fillId="0" borderId="33" xfId="184" applyFont="1" applyFill="1" applyBorder="1" applyAlignment="1">
      <alignment horizontal="center" vertical="center"/>
    </xf>
    <xf numFmtId="0" fontId="27" fillId="0" borderId="0" xfId="184" applyFont="1" applyFill="1" applyAlignment="1">
      <alignment horizontal="left"/>
    </xf>
    <xf numFmtId="166" fontId="0" fillId="0" borderId="10" xfId="0" applyNumberFormat="1" applyBorder="1" applyAlignment="1">
      <alignment horizontal="center"/>
    </xf>
    <xf numFmtId="166" fontId="0" fillId="0" borderId="0" xfId="0" applyNumberFormat="1" applyAlignment="1">
      <alignment horizontal="center"/>
    </xf>
    <xf numFmtId="3" fontId="0" fillId="0" borderId="10" xfId="0" applyNumberFormat="1" applyBorder="1"/>
    <xf numFmtId="3" fontId="21" fillId="0" borderId="31" xfId="0" applyNumberFormat="1" applyFont="1" applyBorder="1" applyAlignment="1">
      <alignment horizontal="center" vertical="center"/>
    </xf>
    <xf numFmtId="166" fontId="21" fillId="0" borderId="31" xfId="0" applyNumberFormat="1" applyFont="1" applyBorder="1" applyAlignment="1">
      <alignment horizontal="center" vertical="center"/>
    </xf>
    <xf numFmtId="0" fontId="38" fillId="0" borderId="0" xfId="0" applyFont="1" applyBorder="1" applyAlignment="1">
      <alignment vertical="center"/>
    </xf>
    <xf numFmtId="0" fontId="38" fillId="0" borderId="0" xfId="0" applyFont="1" applyBorder="1"/>
    <xf numFmtId="0" fontId="34" fillId="0" borderId="0" xfId="0" applyFont="1" applyBorder="1" applyAlignment="1">
      <alignment horizontal="left"/>
    </xf>
    <xf numFmtId="0" fontId="34" fillId="0" borderId="0" xfId="0" applyFont="1" applyBorder="1"/>
    <xf numFmtId="0" fontId="34" fillId="0" borderId="0" xfId="0" applyFont="1" applyBorder="1" applyAlignment="1">
      <alignment horizontal="center"/>
    </xf>
    <xf numFmtId="166" fontId="34" fillId="0" borderId="0" xfId="0" applyNumberFormat="1" applyFont="1" applyBorder="1" applyAlignment="1">
      <alignment horizontal="center"/>
    </xf>
    <xf numFmtId="3" fontId="34" fillId="0" borderId="0" xfId="0" applyNumberFormat="1" applyFont="1" applyBorder="1" applyAlignment="1">
      <alignment horizontal="center"/>
    </xf>
    <xf numFmtId="166" fontId="34" fillId="0" borderId="0" xfId="0" applyNumberFormat="1" applyFont="1"/>
    <xf numFmtId="3" fontId="38" fillId="0" borderId="0" xfId="0" applyNumberFormat="1" applyFont="1" applyBorder="1" applyAlignment="1">
      <alignment horizontal="center" vertical="center"/>
    </xf>
    <xf numFmtId="166" fontId="38" fillId="0" borderId="0" xfId="0" applyNumberFormat="1" applyFont="1" applyBorder="1" applyAlignment="1">
      <alignment horizontal="center" vertical="center"/>
    </xf>
    <xf numFmtId="3" fontId="34" fillId="0" borderId="0" xfId="0" applyNumberFormat="1" applyFont="1" applyBorder="1"/>
    <xf numFmtId="0" fontId="38" fillId="0" borderId="0" xfId="0" applyFont="1" applyBorder="1" applyAlignment="1">
      <alignment horizontal="left" vertical="center" wrapText="1"/>
    </xf>
    <xf numFmtId="3" fontId="38" fillId="0" borderId="31" xfId="0" applyNumberFormat="1" applyFont="1" applyBorder="1" applyAlignment="1">
      <alignment horizontal="center" vertical="center"/>
    </xf>
    <xf numFmtId="166" fontId="38" fillId="0" borderId="31" xfId="0" applyNumberFormat="1" applyFont="1" applyBorder="1" applyAlignment="1">
      <alignment horizontal="center" vertical="center"/>
    </xf>
    <xf numFmtId="0" fontId="38" fillId="0" borderId="31" xfId="0" applyFont="1" applyBorder="1" applyAlignment="1">
      <alignment horizontal="center" vertical="center"/>
    </xf>
    <xf numFmtId="166" fontId="34" fillId="0" borderId="10" xfId="0" applyNumberFormat="1" applyFont="1" applyBorder="1" applyAlignment="1">
      <alignment horizontal="center"/>
    </xf>
    <xf numFmtId="0" fontId="32" fillId="0" borderId="31" xfId="184" applyFont="1" applyFill="1" applyBorder="1" applyAlignment="1">
      <alignment horizontal="left" vertical="center" wrapText="1"/>
    </xf>
    <xf numFmtId="0" fontId="38" fillId="0" borderId="31" xfId="0" applyFont="1" applyBorder="1" applyAlignment="1">
      <alignment horizontal="left" vertical="center" wrapText="1"/>
    </xf>
    <xf numFmtId="3" fontId="0" fillId="0" borderId="10" xfId="0" applyNumberFormat="1" applyBorder="1" applyAlignment="1">
      <alignment horizontal="right"/>
    </xf>
    <xf numFmtId="3" fontId="0" fillId="0" borderId="0" xfId="0" applyNumberFormat="1" applyBorder="1" applyAlignment="1">
      <alignment horizontal="right"/>
    </xf>
    <xf numFmtId="37" fontId="0" fillId="0" borderId="0" xfId="0" applyNumberFormat="1"/>
    <xf numFmtId="37" fontId="0" fillId="0" borderId="10" xfId="0" applyNumberFormat="1" applyBorder="1"/>
    <xf numFmtId="37" fontId="34" fillId="0" borderId="10" xfId="0" applyNumberFormat="1" applyFont="1" applyBorder="1" applyAlignment="1">
      <alignment horizontal="right"/>
    </xf>
    <xf numFmtId="37" fontId="34" fillId="0" borderId="0" xfId="0" applyNumberFormat="1" applyFont="1" applyBorder="1" applyAlignment="1">
      <alignment horizontal="right"/>
    </xf>
    <xf numFmtId="37" fontId="38" fillId="0" borderId="0" xfId="0" applyNumberFormat="1" applyFont="1" applyBorder="1" applyAlignment="1">
      <alignment horizontal="right" vertical="center"/>
    </xf>
    <xf numFmtId="37" fontId="34" fillId="0" borderId="10" xfId="0" applyNumberFormat="1" applyFont="1" applyBorder="1"/>
    <xf numFmtId="37" fontId="34" fillId="0" borderId="0" xfId="0" applyNumberFormat="1" applyFont="1"/>
    <xf numFmtId="166" fontId="34" fillId="0" borderId="0" xfId="0" applyNumberFormat="1" applyFont="1" applyAlignment="1">
      <alignment horizontal="center"/>
    </xf>
    <xf numFmtId="0" fontId="21" fillId="0" borderId="0" xfId="0" applyFont="1" applyBorder="1" applyAlignment="1">
      <alignment horizontal="center" vertical="center"/>
    </xf>
    <xf numFmtId="0" fontId="41" fillId="0" borderId="42" xfId="184" applyFont="1" applyFill="1" applyBorder="1"/>
    <xf numFmtId="0" fontId="87" fillId="0" borderId="0" xfId="646" applyBorder="1"/>
    <xf numFmtId="0" fontId="27" fillId="0" borderId="0" xfId="184" applyFont="1" applyFill="1" applyBorder="1" applyAlignment="1">
      <alignment vertical="center"/>
    </xf>
    <xf numFmtId="0" fontId="38" fillId="0" borderId="0" xfId="0" applyFont="1" applyBorder="1" applyAlignment="1">
      <alignment horizontal="center" vertical="center"/>
    </xf>
    <xf numFmtId="0" fontId="35" fillId="0" borderId="0" xfId="184" applyFont="1" applyFill="1" applyBorder="1" applyAlignment="1" applyProtection="1">
      <alignment vertical="center"/>
    </xf>
    <xf numFmtId="0" fontId="27" fillId="0" borderId="0" xfId="184" applyFont="1" applyFill="1" applyBorder="1" applyAlignment="1">
      <alignment horizontal="left" vertical="center"/>
    </xf>
    <xf numFmtId="0" fontId="35" fillId="0" borderId="0" xfId="183" applyFont="1" applyAlignment="1" applyProtection="1">
      <alignment horizontal="left" vertical="center"/>
    </xf>
    <xf numFmtId="0" fontId="31" fillId="0" borderId="30" xfId="183" applyFont="1" applyBorder="1" applyAlignment="1">
      <alignment horizontal="center"/>
    </xf>
    <xf numFmtId="0" fontId="40" fillId="0" borderId="0" xfId="183" applyFont="1" applyAlignment="1" applyProtection="1">
      <alignment horizontal="center"/>
    </xf>
    <xf numFmtId="0" fontId="28" fillId="0" borderId="0" xfId="183" applyFont="1" applyAlignment="1" applyProtection="1">
      <alignment horizontal="center"/>
    </xf>
    <xf numFmtId="0" fontId="29" fillId="0" borderId="0" xfId="183" applyFont="1" applyAlignment="1" applyProtection="1">
      <alignment horizontal="center"/>
    </xf>
    <xf numFmtId="0" fontId="27" fillId="0" borderId="0" xfId="183" applyFont="1" applyAlignment="1">
      <alignment horizontal="center"/>
    </xf>
    <xf numFmtId="0" fontId="27" fillId="0" borderId="0" xfId="173" applyFont="1" applyFill="1" applyAlignment="1">
      <alignment horizontal="right"/>
    </xf>
    <xf numFmtId="0" fontId="35" fillId="0" borderId="0" xfId="172" applyFont="1" applyFill="1" applyAlignment="1">
      <alignment horizontal="center"/>
    </xf>
    <xf numFmtId="0" fontId="41" fillId="0" borderId="0" xfId="172" applyFont="1" applyFill="1" applyAlignment="1">
      <alignment horizontal="center"/>
    </xf>
    <xf numFmtId="0" fontId="27" fillId="0" borderId="0" xfId="172" applyFont="1" applyFill="1" applyAlignment="1">
      <alignment horizontal="center"/>
    </xf>
    <xf numFmtId="0" fontId="27" fillId="0" borderId="35" xfId="172" applyFont="1" applyFill="1" applyBorder="1" applyAlignment="1">
      <alignment horizontal="center" vertical="center"/>
    </xf>
    <xf numFmtId="0" fontId="27" fillId="0" borderId="36" xfId="172" applyFont="1" applyFill="1" applyBorder="1" applyAlignment="1">
      <alignment horizontal="center" vertical="center"/>
    </xf>
    <xf numFmtId="0" fontId="27" fillId="0" borderId="37" xfId="172" applyFont="1" applyFill="1" applyBorder="1" applyAlignment="1">
      <alignment horizontal="center" vertical="center"/>
    </xf>
    <xf numFmtId="0" fontId="0" fillId="0" borderId="38" xfId="0" applyFill="1" applyBorder="1" applyAlignment="1">
      <alignment horizontal="center" vertical="center"/>
    </xf>
    <xf numFmtId="0" fontId="0" fillId="0" borderId="30" xfId="0" applyFill="1" applyBorder="1" applyAlignment="1">
      <alignment horizontal="center" vertical="center"/>
    </xf>
    <xf numFmtId="0" fontId="0" fillId="0" borderId="39" xfId="0" applyFill="1" applyBorder="1" applyAlignment="1">
      <alignment horizontal="center" vertical="center"/>
    </xf>
    <xf numFmtId="0" fontId="41" fillId="0" borderId="0" xfId="173" applyFont="1" applyFill="1" applyAlignment="1">
      <alignment horizontal="center"/>
    </xf>
    <xf numFmtId="0" fontId="27" fillId="0" borderId="0" xfId="173" applyFont="1" applyFill="1" applyAlignment="1">
      <alignment horizontal="center"/>
    </xf>
    <xf numFmtId="0" fontId="35" fillId="0" borderId="0" xfId="173" applyFont="1" applyFill="1" applyAlignment="1">
      <alignment horizontal="center"/>
    </xf>
    <xf numFmtId="0" fontId="31" fillId="0" borderId="30" xfId="184" applyFont="1" applyFill="1" applyBorder="1" applyAlignment="1">
      <alignment horizontal="center"/>
    </xf>
    <xf numFmtId="0" fontId="40" fillId="0" borderId="0" xfId="184" applyFont="1" applyFill="1" applyBorder="1" applyAlignment="1" applyProtection="1">
      <alignment horizontal="center"/>
    </xf>
    <xf numFmtId="0" fontId="40" fillId="0" borderId="0" xfId="184" applyFont="1" applyFill="1" applyAlignment="1" applyProtection="1">
      <alignment horizontal="center"/>
    </xf>
    <xf numFmtId="0" fontId="21" fillId="0" borderId="0" xfId="0" applyFont="1" applyBorder="1" applyAlignment="1">
      <alignment horizontal="center"/>
    </xf>
    <xf numFmtId="0" fontId="28" fillId="0" borderId="0" xfId="184" applyFont="1" applyFill="1" applyAlignment="1" applyProtection="1">
      <alignment horizontal="center"/>
    </xf>
    <xf numFmtId="0" fontId="29" fillId="0" borderId="0" xfId="184" applyFont="1" applyFill="1" applyAlignment="1" applyProtection="1">
      <alignment horizontal="center"/>
    </xf>
    <xf numFmtId="0" fontId="41" fillId="0" borderId="0" xfId="184" applyFont="1" applyFill="1" applyAlignment="1">
      <alignment horizontal="center"/>
    </xf>
    <xf numFmtId="0" fontId="0" fillId="24" borderId="0" xfId="0" applyFont="1" applyFill="1" applyAlignment="1">
      <alignment horizontal="left" vertical="top" wrapText="1"/>
    </xf>
    <xf numFmtId="41" fontId="61" fillId="0" borderId="0" xfId="183" applyNumberFormat="1" applyFont="1" applyFill="1" applyBorder="1" applyAlignment="1">
      <alignment horizontal="center" vertical="center" wrapText="1"/>
    </xf>
    <xf numFmtId="0" fontId="62" fillId="0" borderId="0" xfId="0" applyFont="1" applyBorder="1" applyAlignment="1">
      <alignment horizontal="center" vertical="center" wrapText="1"/>
    </xf>
    <xf numFmtId="0" fontId="38" fillId="0" borderId="61" xfId="184" applyFont="1" applyFill="1" applyBorder="1" applyAlignment="1" applyProtection="1">
      <alignment horizontal="center" vertical="center" wrapText="1"/>
    </xf>
    <xf numFmtId="0" fontId="38" fillId="0" borderId="48" xfId="184" applyFont="1" applyFill="1" applyBorder="1" applyAlignment="1" applyProtection="1">
      <alignment horizontal="center" vertical="center" wrapText="1"/>
    </xf>
    <xf numFmtId="0" fontId="38" fillId="0" borderId="11" xfId="184" applyFont="1" applyFill="1" applyBorder="1" applyAlignment="1" applyProtection="1">
      <alignment horizontal="center" vertical="center" wrapText="1"/>
    </xf>
    <xf numFmtId="0" fontId="41" fillId="0" borderId="35" xfId="183" applyFont="1" applyFill="1" applyBorder="1" applyAlignment="1">
      <alignment horizontal="center" vertical="center" wrapText="1"/>
    </xf>
    <xf numFmtId="0" fontId="40" fillId="0" borderId="36" xfId="0" applyFont="1" applyFill="1" applyBorder="1" applyAlignment="1">
      <alignment horizontal="center" vertical="center" wrapText="1"/>
    </xf>
    <xf numFmtId="0" fontId="40" fillId="0" borderId="62"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0" fillId="0" borderId="38" xfId="0" applyFill="1" applyBorder="1" applyAlignment="1">
      <alignment wrapText="1"/>
    </xf>
    <xf numFmtId="0" fontId="0" fillId="0" borderId="30" xfId="0" applyFill="1" applyBorder="1" applyAlignment="1">
      <alignment wrapText="1"/>
    </xf>
    <xf numFmtId="0" fontId="44" fillId="0" borderId="0" xfId="187" applyFont="1" applyAlignment="1" applyProtection="1">
      <alignment horizontal="center" vertical="center"/>
    </xf>
    <xf numFmtId="3" fontId="44" fillId="0" borderId="0" xfId="187" applyNumberFormat="1" applyFont="1" applyAlignment="1" applyProtection="1">
      <alignment horizontal="center"/>
    </xf>
    <xf numFmtId="0" fontId="64" fillId="0" borderId="35" xfId="182" applyFont="1" applyFill="1" applyBorder="1" applyAlignment="1" applyProtection="1">
      <alignment horizontal="center" vertical="center" wrapText="1"/>
    </xf>
    <xf numFmtId="0" fontId="0" fillId="0" borderId="63"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64" xfId="0" applyFill="1" applyBorder="1" applyAlignment="1">
      <alignment horizontal="center" vertical="center" wrapText="1"/>
    </xf>
    <xf numFmtId="0" fontId="38" fillId="0" borderId="50" xfId="182" applyFont="1" applyFill="1" applyBorder="1" applyAlignment="1" applyProtection="1">
      <alignment horizontal="center" vertical="center"/>
    </xf>
    <xf numFmtId="0" fontId="38" fillId="0" borderId="53" xfId="182" applyFont="1" applyFill="1" applyBorder="1" applyAlignment="1" applyProtection="1">
      <alignment horizontal="center" vertical="center"/>
    </xf>
    <xf numFmtId="0" fontId="38" fillId="0" borderId="54" xfId="182" applyFont="1" applyFill="1" applyBorder="1" applyAlignment="1" applyProtection="1">
      <alignment horizontal="center" vertical="center"/>
    </xf>
    <xf numFmtId="37" fontId="38" fillId="0" borderId="61" xfId="182" applyNumberFormat="1" applyFont="1" applyFill="1" applyBorder="1" applyAlignment="1" applyProtection="1">
      <alignment horizontal="center" vertical="center" wrapText="1"/>
    </xf>
    <xf numFmtId="37" fontId="38" fillId="0" borderId="48" xfId="182" applyNumberFormat="1" applyFont="1" applyFill="1" applyBorder="1" applyAlignment="1" applyProtection="1">
      <alignment horizontal="center" vertical="center" wrapText="1"/>
    </xf>
    <xf numFmtId="37" fontId="38" fillId="0" borderId="11" xfId="182" applyNumberFormat="1" applyFont="1" applyFill="1" applyBorder="1" applyAlignment="1" applyProtection="1">
      <alignment horizontal="center" vertical="center" wrapText="1"/>
    </xf>
    <xf numFmtId="43" fontId="38" fillId="0" borderId="73" xfId="121" applyNumberFormat="1" applyFont="1" applyFill="1" applyBorder="1" applyAlignment="1" applyProtection="1">
      <alignment horizontal="center" vertical="center" wrapText="1"/>
    </xf>
    <xf numFmtId="43" fontId="38" fillId="0" borderId="55" xfId="121" applyNumberFormat="1" applyFont="1" applyFill="1" applyBorder="1" applyAlignment="1" applyProtection="1">
      <alignment horizontal="center" vertical="center" wrapText="1"/>
    </xf>
    <xf numFmtId="43" fontId="38" fillId="0" borderId="56" xfId="121" applyNumberFormat="1" applyFont="1" applyFill="1" applyBorder="1" applyAlignment="1" applyProtection="1">
      <alignment horizontal="center" vertical="center" wrapText="1"/>
    </xf>
    <xf numFmtId="0" fontId="5" fillId="0" borderId="65" xfId="0" applyFont="1" applyFill="1" applyBorder="1" applyAlignment="1">
      <alignment horizontal="center"/>
    </xf>
    <xf numFmtId="0" fontId="5" fillId="0" borderId="42" xfId="0" applyFont="1" applyFill="1" applyBorder="1" applyAlignment="1">
      <alignment horizontal="center"/>
    </xf>
    <xf numFmtId="0" fontId="5" fillId="0" borderId="66" xfId="0" applyFont="1" applyFill="1" applyBorder="1" applyAlignment="1">
      <alignment horizontal="center"/>
    </xf>
    <xf numFmtId="0" fontId="5" fillId="0" borderId="10" xfId="0" applyFont="1" applyBorder="1" applyAlignment="1">
      <alignment horizontal="center"/>
    </xf>
    <xf numFmtId="0" fontId="21" fillId="0" borderId="32" xfId="0" applyFont="1" applyBorder="1" applyAlignment="1">
      <alignment horizontal="center"/>
    </xf>
    <xf numFmtId="0" fontId="21" fillId="0" borderId="32" xfId="0" applyFont="1" applyBorder="1" applyAlignment="1">
      <alignment horizontal="center" wrapText="1"/>
    </xf>
    <xf numFmtId="0" fontId="21" fillId="0" borderId="44" xfId="0" applyFont="1" applyBorder="1" applyAlignment="1">
      <alignment horizontal="center"/>
    </xf>
    <xf numFmtId="0" fontId="59" fillId="0" borderId="34" xfId="172" applyFont="1" applyFill="1" applyBorder="1" applyAlignment="1">
      <alignment horizontal="center"/>
    </xf>
    <xf numFmtId="0" fontId="59" fillId="0" borderId="32" xfId="172" applyFont="1" applyFill="1" applyBorder="1" applyAlignment="1">
      <alignment horizontal="center"/>
    </xf>
    <xf numFmtId="0" fontId="59" fillId="0" borderId="44" xfId="172" applyFont="1" applyFill="1" applyBorder="1" applyAlignment="1">
      <alignment horizontal="center"/>
    </xf>
    <xf numFmtId="0" fontId="21" fillId="0" borderId="34" xfId="0" applyFont="1" applyBorder="1" applyAlignment="1">
      <alignment horizontal="center"/>
    </xf>
    <xf numFmtId="0" fontId="21" fillId="0" borderId="34" xfId="0" applyFont="1" applyBorder="1" applyAlignment="1">
      <alignment horizontal="center" wrapText="1"/>
    </xf>
    <xf numFmtId="164" fontId="25" fillId="0" borderId="34" xfId="172" applyNumberFormat="1" applyFont="1" applyBorder="1" applyAlignment="1">
      <alignment horizontal="center" wrapText="1"/>
    </xf>
    <xf numFmtId="164" fontId="25" fillId="0" borderId="32" xfId="172" applyNumberFormat="1" applyFont="1" applyBorder="1" applyAlignment="1">
      <alignment horizontal="center"/>
    </xf>
    <xf numFmtId="164" fontId="25" fillId="0" borderId="44" xfId="172" applyNumberFormat="1" applyFont="1" applyBorder="1" applyAlignment="1">
      <alignment horizontal="center"/>
    </xf>
    <xf numFmtId="164" fontId="24" fillId="0" borderId="0" xfId="172" applyNumberFormat="1" applyAlignment="1">
      <alignment horizontal="center"/>
    </xf>
    <xf numFmtId="0" fontId="59" fillId="25" borderId="34" xfId="172" applyFont="1" applyFill="1" applyBorder="1" applyAlignment="1">
      <alignment horizontal="center"/>
    </xf>
    <xf numFmtId="0" fontId="59" fillId="25" borderId="32" xfId="172" applyFont="1" applyFill="1" applyBorder="1" applyAlignment="1">
      <alignment horizontal="center"/>
    </xf>
    <xf numFmtId="0" fontId="59" fillId="25" borderId="44" xfId="172" applyFont="1" applyFill="1" applyBorder="1" applyAlignment="1">
      <alignment horizontal="center"/>
    </xf>
  </cellXfs>
  <cellStyles count="810">
    <cellStyle name="20% - Accent1" xfId="1" builtinId="30" customBuiltin="1"/>
    <cellStyle name="20% - Accent1 2" xfId="2"/>
    <cellStyle name="20% - Accent1 2 2" xfId="476"/>
    <cellStyle name="20% - Accent1 2 3" xfId="297"/>
    <cellStyle name="20% - Accent1 2 4" xfId="218"/>
    <cellStyle name="20% - Accent1 3" xfId="3"/>
    <cellStyle name="20% - Accent1 3 2" xfId="477"/>
    <cellStyle name="20% - Accent1 3 3" xfId="219"/>
    <cellStyle name="20% - Accent1 4" xfId="4"/>
    <cellStyle name="20% - Accent1 4 2" xfId="478"/>
    <cellStyle name="20% - Accent1 4 3" xfId="220"/>
    <cellStyle name="20% - Accent1 5" xfId="5"/>
    <cellStyle name="20% - Accent1 5 2" xfId="479"/>
    <cellStyle name="20% - Accent1 5 3" xfId="221"/>
    <cellStyle name="20% - Accent1 6" xfId="475"/>
    <cellStyle name="20% - Accent1 7" xfId="651"/>
    <cellStyle name="20% - Accent2" xfId="6" builtinId="34" customBuiltin="1"/>
    <cellStyle name="20% - Accent2 2" xfId="7"/>
    <cellStyle name="20% - Accent2 2 2" xfId="481"/>
    <cellStyle name="20% - Accent2 2 3" xfId="298"/>
    <cellStyle name="20% - Accent2 2 4" xfId="222"/>
    <cellStyle name="20% - Accent2 3" xfId="8"/>
    <cellStyle name="20% - Accent2 3 2" xfId="482"/>
    <cellStyle name="20% - Accent2 3 3" xfId="223"/>
    <cellStyle name="20% - Accent2 4" xfId="9"/>
    <cellStyle name="20% - Accent2 4 2" xfId="483"/>
    <cellStyle name="20% - Accent2 4 3" xfId="224"/>
    <cellStyle name="20% - Accent2 5" xfId="10"/>
    <cellStyle name="20% - Accent2 5 2" xfId="484"/>
    <cellStyle name="20% - Accent2 5 3" xfId="225"/>
    <cellStyle name="20% - Accent2 6" xfId="480"/>
    <cellStyle name="20% - Accent2 7" xfId="652"/>
    <cellStyle name="20% - Accent3" xfId="11" builtinId="38" customBuiltin="1"/>
    <cellStyle name="20% - Accent3 2" xfId="12"/>
    <cellStyle name="20% - Accent3 2 2" xfId="486"/>
    <cellStyle name="20% - Accent3 2 3" xfId="299"/>
    <cellStyle name="20% - Accent3 2 4" xfId="226"/>
    <cellStyle name="20% - Accent3 3" xfId="13"/>
    <cellStyle name="20% - Accent3 3 2" xfId="487"/>
    <cellStyle name="20% - Accent3 3 3" xfId="227"/>
    <cellStyle name="20% - Accent3 4" xfId="14"/>
    <cellStyle name="20% - Accent3 4 2" xfId="488"/>
    <cellStyle name="20% - Accent3 4 3" xfId="228"/>
    <cellStyle name="20% - Accent3 5" xfId="15"/>
    <cellStyle name="20% - Accent3 5 2" xfId="489"/>
    <cellStyle name="20% - Accent3 5 3" xfId="229"/>
    <cellStyle name="20% - Accent3 6" xfId="485"/>
    <cellStyle name="20% - Accent3 7" xfId="653"/>
    <cellStyle name="20% - Accent4" xfId="16" builtinId="42" customBuiltin="1"/>
    <cellStyle name="20% - Accent4 2" xfId="17"/>
    <cellStyle name="20% - Accent4 2 2" xfId="491"/>
    <cellStyle name="20% - Accent4 2 3" xfId="300"/>
    <cellStyle name="20% - Accent4 2 4" xfId="230"/>
    <cellStyle name="20% - Accent4 3" xfId="18"/>
    <cellStyle name="20% - Accent4 3 2" xfId="492"/>
    <cellStyle name="20% - Accent4 3 3" xfId="231"/>
    <cellStyle name="20% - Accent4 4" xfId="19"/>
    <cellStyle name="20% - Accent4 4 2" xfId="493"/>
    <cellStyle name="20% - Accent4 4 3" xfId="232"/>
    <cellStyle name="20% - Accent4 5" xfId="20"/>
    <cellStyle name="20% - Accent4 5 2" xfId="494"/>
    <cellStyle name="20% - Accent4 5 3" xfId="233"/>
    <cellStyle name="20% - Accent4 6" xfId="490"/>
    <cellStyle name="20% - Accent4 7" xfId="654"/>
    <cellStyle name="20% - Accent5" xfId="21" builtinId="46" customBuiltin="1"/>
    <cellStyle name="20% - Accent5 2" xfId="22"/>
    <cellStyle name="20% - Accent5 2 2" xfId="496"/>
    <cellStyle name="20% - Accent5 2 3" xfId="301"/>
    <cellStyle name="20% - Accent5 2 4" xfId="234"/>
    <cellStyle name="20% - Accent5 3" xfId="23"/>
    <cellStyle name="20% - Accent5 3 2" xfId="497"/>
    <cellStyle name="20% - Accent5 3 3" xfId="235"/>
    <cellStyle name="20% - Accent5 4" xfId="24"/>
    <cellStyle name="20% - Accent5 4 2" xfId="498"/>
    <cellStyle name="20% - Accent5 4 3" xfId="236"/>
    <cellStyle name="20% - Accent5 5" xfId="25"/>
    <cellStyle name="20% - Accent5 5 2" xfId="499"/>
    <cellStyle name="20% - Accent5 5 3" xfId="237"/>
    <cellStyle name="20% - Accent5 6" xfId="495"/>
    <cellStyle name="20% - Accent5 7" xfId="655"/>
    <cellStyle name="20% - Accent6" xfId="26" builtinId="50" customBuiltin="1"/>
    <cellStyle name="20% - Accent6 2" xfId="27"/>
    <cellStyle name="20% - Accent6 2 2" xfId="501"/>
    <cellStyle name="20% - Accent6 2 3" xfId="302"/>
    <cellStyle name="20% - Accent6 2 4" xfId="238"/>
    <cellStyle name="20% - Accent6 3" xfId="28"/>
    <cellStyle name="20% - Accent6 3 2" xfId="502"/>
    <cellStyle name="20% - Accent6 3 3" xfId="239"/>
    <cellStyle name="20% - Accent6 4" xfId="29"/>
    <cellStyle name="20% - Accent6 4 2" xfId="503"/>
    <cellStyle name="20% - Accent6 4 3" xfId="240"/>
    <cellStyle name="20% - Accent6 5" xfId="30"/>
    <cellStyle name="20% - Accent6 5 2" xfId="504"/>
    <cellStyle name="20% - Accent6 5 3" xfId="241"/>
    <cellStyle name="20% - Accent6 6" xfId="500"/>
    <cellStyle name="20% - Accent6 7" xfId="656"/>
    <cellStyle name="40% - Accent1" xfId="31" builtinId="31" customBuiltin="1"/>
    <cellStyle name="40% - Accent1 2" xfId="32"/>
    <cellStyle name="40% - Accent1 2 2" xfId="506"/>
    <cellStyle name="40% - Accent1 2 3" xfId="303"/>
    <cellStyle name="40% - Accent1 2 4" xfId="242"/>
    <cellStyle name="40% - Accent1 3" xfId="33"/>
    <cellStyle name="40% - Accent1 3 2" xfId="507"/>
    <cellStyle name="40% - Accent1 3 3" xfId="243"/>
    <cellStyle name="40% - Accent1 4" xfId="34"/>
    <cellStyle name="40% - Accent1 4 2" xfId="508"/>
    <cellStyle name="40% - Accent1 4 3" xfId="244"/>
    <cellStyle name="40% - Accent1 5" xfId="35"/>
    <cellStyle name="40% - Accent1 5 2" xfId="509"/>
    <cellStyle name="40% - Accent1 5 3" xfId="245"/>
    <cellStyle name="40% - Accent1 6" xfId="505"/>
    <cellStyle name="40% - Accent1 7" xfId="657"/>
    <cellStyle name="40% - Accent2" xfId="36" builtinId="35" customBuiltin="1"/>
    <cellStyle name="40% - Accent2 2" xfId="37"/>
    <cellStyle name="40% - Accent2 2 2" xfId="511"/>
    <cellStyle name="40% - Accent2 2 3" xfId="304"/>
    <cellStyle name="40% - Accent2 2 4" xfId="246"/>
    <cellStyle name="40% - Accent2 3" xfId="38"/>
    <cellStyle name="40% - Accent2 3 2" xfId="512"/>
    <cellStyle name="40% - Accent2 3 3" xfId="247"/>
    <cellStyle name="40% - Accent2 4" xfId="39"/>
    <cellStyle name="40% - Accent2 4 2" xfId="513"/>
    <cellStyle name="40% - Accent2 4 3" xfId="248"/>
    <cellStyle name="40% - Accent2 5" xfId="40"/>
    <cellStyle name="40% - Accent2 5 2" xfId="514"/>
    <cellStyle name="40% - Accent2 5 3" xfId="249"/>
    <cellStyle name="40% - Accent2 6" xfId="510"/>
    <cellStyle name="40% - Accent2 7" xfId="658"/>
    <cellStyle name="40% - Accent3" xfId="41" builtinId="39" customBuiltin="1"/>
    <cellStyle name="40% - Accent3 2" xfId="42"/>
    <cellStyle name="40% - Accent3 2 2" xfId="516"/>
    <cellStyle name="40% - Accent3 2 3" xfId="305"/>
    <cellStyle name="40% - Accent3 2 4" xfId="250"/>
    <cellStyle name="40% - Accent3 3" xfId="43"/>
    <cellStyle name="40% - Accent3 3 2" xfId="517"/>
    <cellStyle name="40% - Accent3 3 3" xfId="251"/>
    <cellStyle name="40% - Accent3 4" xfId="44"/>
    <cellStyle name="40% - Accent3 4 2" xfId="518"/>
    <cellStyle name="40% - Accent3 4 3" xfId="252"/>
    <cellStyle name="40% - Accent3 5" xfId="45"/>
    <cellStyle name="40% - Accent3 5 2" xfId="519"/>
    <cellStyle name="40% - Accent3 5 3" xfId="253"/>
    <cellStyle name="40% - Accent3 6" xfId="515"/>
    <cellStyle name="40% - Accent3 7" xfId="659"/>
    <cellStyle name="40% - Accent4" xfId="46" builtinId="43" customBuiltin="1"/>
    <cellStyle name="40% - Accent4 2" xfId="47"/>
    <cellStyle name="40% - Accent4 2 2" xfId="521"/>
    <cellStyle name="40% - Accent4 2 3" xfId="306"/>
    <cellStyle name="40% - Accent4 2 4" xfId="254"/>
    <cellStyle name="40% - Accent4 3" xfId="48"/>
    <cellStyle name="40% - Accent4 3 2" xfId="522"/>
    <cellStyle name="40% - Accent4 3 3" xfId="255"/>
    <cellStyle name="40% - Accent4 4" xfId="49"/>
    <cellStyle name="40% - Accent4 4 2" xfId="523"/>
    <cellStyle name="40% - Accent4 4 3" xfId="256"/>
    <cellStyle name="40% - Accent4 5" xfId="50"/>
    <cellStyle name="40% - Accent4 5 2" xfId="524"/>
    <cellStyle name="40% - Accent4 5 3" xfId="257"/>
    <cellStyle name="40% - Accent4 6" xfId="520"/>
    <cellStyle name="40% - Accent4 7" xfId="660"/>
    <cellStyle name="40% - Accent5" xfId="51" builtinId="47" customBuiltin="1"/>
    <cellStyle name="40% - Accent5 2" xfId="52"/>
    <cellStyle name="40% - Accent5 2 2" xfId="526"/>
    <cellStyle name="40% - Accent5 2 3" xfId="307"/>
    <cellStyle name="40% - Accent5 2 4" xfId="258"/>
    <cellStyle name="40% - Accent5 3" xfId="53"/>
    <cellStyle name="40% - Accent5 3 2" xfId="527"/>
    <cellStyle name="40% - Accent5 3 3" xfId="259"/>
    <cellStyle name="40% - Accent5 4" xfId="54"/>
    <cellStyle name="40% - Accent5 4 2" xfId="528"/>
    <cellStyle name="40% - Accent5 4 3" xfId="260"/>
    <cellStyle name="40% - Accent5 5" xfId="55"/>
    <cellStyle name="40% - Accent5 5 2" xfId="529"/>
    <cellStyle name="40% - Accent5 5 3" xfId="261"/>
    <cellStyle name="40% - Accent5 6" xfId="525"/>
    <cellStyle name="40% - Accent5 7" xfId="661"/>
    <cellStyle name="40% - Accent6" xfId="56" builtinId="51" customBuiltin="1"/>
    <cellStyle name="40% - Accent6 2" xfId="57"/>
    <cellStyle name="40% - Accent6 2 2" xfId="531"/>
    <cellStyle name="40% - Accent6 2 3" xfId="308"/>
    <cellStyle name="40% - Accent6 2 4" xfId="262"/>
    <cellStyle name="40% - Accent6 3" xfId="58"/>
    <cellStyle name="40% - Accent6 3 2" xfId="532"/>
    <cellStyle name="40% - Accent6 3 3" xfId="263"/>
    <cellStyle name="40% - Accent6 4" xfId="59"/>
    <cellStyle name="40% - Accent6 4 2" xfId="533"/>
    <cellStyle name="40% - Accent6 4 3" xfId="264"/>
    <cellStyle name="40% - Accent6 5" xfId="60"/>
    <cellStyle name="40% - Accent6 5 2" xfId="534"/>
    <cellStyle name="40% - Accent6 5 3" xfId="265"/>
    <cellStyle name="40% - Accent6 6" xfId="530"/>
    <cellStyle name="40% - Accent6 7" xfId="662"/>
    <cellStyle name="60% - Accent1" xfId="61" builtinId="32" customBuiltin="1"/>
    <cellStyle name="60% - Accent1 2" xfId="62"/>
    <cellStyle name="60% - Accent1 2 2" xfId="536"/>
    <cellStyle name="60% - Accent1 2 3" xfId="309"/>
    <cellStyle name="60% - Accent1 3" xfId="63"/>
    <cellStyle name="60% - Accent1 4" xfId="64"/>
    <cellStyle name="60% - Accent1 5" xfId="535"/>
    <cellStyle name="60% - Accent1 6" xfId="663"/>
    <cellStyle name="60% - Accent2" xfId="65" builtinId="36" customBuiltin="1"/>
    <cellStyle name="60% - Accent2 2" xfId="66"/>
    <cellStyle name="60% - Accent2 2 2" xfId="538"/>
    <cellStyle name="60% - Accent2 2 3" xfId="310"/>
    <cellStyle name="60% - Accent2 3" xfId="67"/>
    <cellStyle name="60% - Accent2 4" xfId="68"/>
    <cellStyle name="60% - Accent2 5" xfId="537"/>
    <cellStyle name="60% - Accent2 6" xfId="664"/>
    <cellStyle name="60% - Accent3" xfId="69" builtinId="40" customBuiltin="1"/>
    <cellStyle name="60% - Accent3 2" xfId="70"/>
    <cellStyle name="60% - Accent3 2 2" xfId="540"/>
    <cellStyle name="60% - Accent3 2 3" xfId="311"/>
    <cellStyle name="60% - Accent3 3" xfId="71"/>
    <cellStyle name="60% - Accent3 4" xfId="72"/>
    <cellStyle name="60% - Accent3 5" xfId="539"/>
    <cellStyle name="60% - Accent3 6" xfId="665"/>
    <cellStyle name="60% - Accent4" xfId="73" builtinId="44" customBuiltin="1"/>
    <cellStyle name="60% - Accent4 2" xfId="74"/>
    <cellStyle name="60% - Accent4 2 2" xfId="542"/>
    <cellStyle name="60% - Accent4 2 3" xfId="312"/>
    <cellStyle name="60% - Accent4 3" xfId="75"/>
    <cellStyle name="60% - Accent4 4" xfId="76"/>
    <cellStyle name="60% - Accent4 5" xfId="541"/>
    <cellStyle name="60% - Accent4 6" xfId="666"/>
    <cellStyle name="60% - Accent5" xfId="77" builtinId="48" customBuiltin="1"/>
    <cellStyle name="60% - Accent5 2" xfId="78"/>
    <cellStyle name="60% - Accent5 2 2" xfId="544"/>
    <cellStyle name="60% - Accent5 2 3" xfId="313"/>
    <cellStyle name="60% - Accent5 3" xfId="79"/>
    <cellStyle name="60% - Accent5 4" xfId="80"/>
    <cellStyle name="60% - Accent5 5" xfId="543"/>
    <cellStyle name="60% - Accent5 6" xfId="667"/>
    <cellStyle name="60% - Accent6" xfId="81" builtinId="52" customBuiltin="1"/>
    <cellStyle name="60% - Accent6 2" xfId="82"/>
    <cellStyle name="60% - Accent6 2 2" xfId="546"/>
    <cellStyle name="60% - Accent6 2 3" xfId="314"/>
    <cellStyle name="60% - Accent6 3" xfId="83"/>
    <cellStyle name="60% - Accent6 4" xfId="84"/>
    <cellStyle name="60% - Accent6 5" xfId="545"/>
    <cellStyle name="60% - Accent6 6" xfId="668"/>
    <cellStyle name="Accent1" xfId="85" builtinId="29" customBuiltin="1"/>
    <cellStyle name="Accent1 - 20%" xfId="316"/>
    <cellStyle name="Accent1 - 40%" xfId="317"/>
    <cellStyle name="Accent1 - 60%" xfId="318"/>
    <cellStyle name="Accent1 10" xfId="457"/>
    <cellStyle name="Accent1 11" xfId="460"/>
    <cellStyle name="Accent1 12" xfId="409"/>
    <cellStyle name="Accent1 13" xfId="547"/>
    <cellStyle name="Accent1 14" xfId="632"/>
    <cellStyle name="Accent1 15" xfId="642"/>
    <cellStyle name="Accent1 16" xfId="669"/>
    <cellStyle name="Accent1 2" xfId="86"/>
    <cellStyle name="Accent1 2 2" xfId="548"/>
    <cellStyle name="Accent1 2 3" xfId="315"/>
    <cellStyle name="Accent1 3" xfId="87"/>
    <cellStyle name="Accent1 3 2" xfId="549"/>
    <cellStyle name="Accent1 3 3" xfId="413"/>
    <cellStyle name="Accent1 4" xfId="88"/>
    <cellStyle name="Accent1 4 2" xfId="550"/>
    <cellStyle name="Accent1 4 3" xfId="449"/>
    <cellStyle name="Accent1 5" xfId="408"/>
    <cellStyle name="Accent1 6" xfId="453"/>
    <cellStyle name="Accent1 7" xfId="404"/>
    <cellStyle name="Accent1 8" xfId="456"/>
    <cellStyle name="Accent1 9" xfId="405"/>
    <cellStyle name="Accent2" xfId="89" builtinId="33" customBuiltin="1"/>
    <cellStyle name="Accent2 - 20%" xfId="320"/>
    <cellStyle name="Accent2 - 40%" xfId="321"/>
    <cellStyle name="Accent2 - 60%" xfId="322"/>
    <cellStyle name="Accent2 10" xfId="455"/>
    <cellStyle name="Accent2 11" xfId="401"/>
    <cellStyle name="Accent2 12" xfId="402"/>
    <cellStyle name="Accent2 13" xfId="551"/>
    <cellStyle name="Accent2 14" xfId="633"/>
    <cellStyle name="Accent2 15" xfId="644"/>
    <cellStyle name="Accent2 16" xfId="670"/>
    <cellStyle name="Accent2 2" xfId="90"/>
    <cellStyle name="Accent2 2 2" xfId="552"/>
    <cellStyle name="Accent2 2 3" xfId="319"/>
    <cellStyle name="Accent2 3" xfId="91"/>
    <cellStyle name="Accent2 3 2" xfId="553"/>
    <cellStyle name="Accent2 3 3" xfId="416"/>
    <cellStyle name="Accent2 4" xfId="92"/>
    <cellStyle name="Accent2 4 2" xfId="554"/>
    <cellStyle name="Accent2 4 3" xfId="446"/>
    <cellStyle name="Accent2 5" xfId="411"/>
    <cellStyle name="Accent2 6" xfId="450"/>
    <cellStyle name="Accent2 7" xfId="406"/>
    <cellStyle name="Accent2 8" xfId="454"/>
    <cellStyle name="Accent2 9" xfId="412"/>
    <cellStyle name="Accent3" xfId="93" builtinId="37" customBuiltin="1"/>
    <cellStyle name="Accent3 - 20%" xfId="324"/>
    <cellStyle name="Accent3 - 40%" xfId="325"/>
    <cellStyle name="Accent3 - 60%" xfId="326"/>
    <cellStyle name="Accent3 10" xfId="452"/>
    <cellStyle name="Accent3 11" xfId="403"/>
    <cellStyle name="Accent3 12" xfId="459"/>
    <cellStyle name="Accent3 13" xfId="555"/>
    <cellStyle name="Accent3 14" xfId="634"/>
    <cellStyle name="Accent3 15" xfId="641"/>
    <cellStyle name="Accent3 16" xfId="671"/>
    <cellStyle name="Accent3 2" xfId="94"/>
    <cellStyle name="Accent3 2 2" xfId="556"/>
    <cellStyle name="Accent3 2 3" xfId="323"/>
    <cellStyle name="Accent3 3" xfId="95"/>
    <cellStyle name="Accent3 3 2" xfId="557"/>
    <cellStyle name="Accent3 3 3" xfId="419"/>
    <cellStyle name="Accent3 4" xfId="96"/>
    <cellStyle name="Accent3 4 2" xfId="558"/>
    <cellStyle name="Accent3 4 3" xfId="444"/>
    <cellStyle name="Accent3 5" xfId="415"/>
    <cellStyle name="Accent3 6" xfId="447"/>
    <cellStyle name="Accent3 7" xfId="410"/>
    <cellStyle name="Accent3 8" xfId="451"/>
    <cellStyle name="Accent3 9" xfId="418"/>
    <cellStyle name="Accent4" xfId="97" builtinId="41" customBuiltin="1"/>
    <cellStyle name="Accent4 - 20%" xfId="328"/>
    <cellStyle name="Accent4 - 40%" xfId="329"/>
    <cellStyle name="Accent4 - 60%" xfId="330"/>
    <cellStyle name="Accent4 10" xfId="448"/>
    <cellStyle name="Accent4 11" xfId="407"/>
    <cellStyle name="Accent4 12" xfId="463"/>
    <cellStyle name="Accent4 13" xfId="559"/>
    <cellStyle name="Accent4 14" xfId="635"/>
    <cellStyle name="Accent4 15" xfId="640"/>
    <cellStyle name="Accent4 16" xfId="672"/>
    <cellStyle name="Accent4 2" xfId="98"/>
    <cellStyle name="Accent4 2 2" xfId="560"/>
    <cellStyle name="Accent4 2 3" xfId="327"/>
    <cellStyle name="Accent4 3" xfId="99"/>
    <cellStyle name="Accent4 3 2" xfId="561"/>
    <cellStyle name="Accent4 3 3" xfId="422"/>
    <cellStyle name="Accent4 4" xfId="100"/>
    <cellStyle name="Accent4 4 2" xfId="562"/>
    <cellStyle name="Accent4 4 3" xfId="441"/>
    <cellStyle name="Accent4 5" xfId="420"/>
    <cellStyle name="Accent4 6" xfId="443"/>
    <cellStyle name="Accent4 7" xfId="417"/>
    <cellStyle name="Accent4 8" xfId="445"/>
    <cellStyle name="Accent4 9" xfId="426"/>
    <cellStyle name="Accent5" xfId="101" builtinId="45" customBuiltin="1"/>
    <cellStyle name="Accent5 - 20%" xfId="332"/>
    <cellStyle name="Accent5 - 40%" xfId="333"/>
    <cellStyle name="Accent5 - 60%" xfId="334"/>
    <cellStyle name="Accent5 10" xfId="440"/>
    <cellStyle name="Accent5 11" xfId="414"/>
    <cellStyle name="Accent5 12" xfId="467"/>
    <cellStyle name="Accent5 13" xfId="563"/>
    <cellStyle name="Accent5 14" xfId="636"/>
    <cellStyle name="Accent5 15" xfId="631"/>
    <cellStyle name="Accent5 16" xfId="673"/>
    <cellStyle name="Accent5 2" xfId="102"/>
    <cellStyle name="Accent5 2 2" xfId="564"/>
    <cellStyle name="Accent5 2 3" xfId="331"/>
    <cellStyle name="Accent5 3" xfId="103"/>
    <cellStyle name="Accent5 3 2" xfId="565"/>
    <cellStyle name="Accent5 3 3" xfId="425"/>
    <cellStyle name="Accent5 4" xfId="104"/>
    <cellStyle name="Accent5 4 2" xfId="566"/>
    <cellStyle name="Accent5 4 3" xfId="438"/>
    <cellStyle name="Accent5 5" xfId="423"/>
    <cellStyle name="Accent5 6" xfId="439"/>
    <cellStyle name="Accent5 7" xfId="421"/>
    <cellStyle name="Accent5 8" xfId="442"/>
    <cellStyle name="Accent5 9" xfId="430"/>
    <cellStyle name="Accent6" xfId="105" builtinId="49" customBuiltin="1"/>
    <cellStyle name="Accent6 - 20%" xfId="336"/>
    <cellStyle name="Accent6 - 40%" xfId="337"/>
    <cellStyle name="Accent6 - 60%" xfId="338"/>
    <cellStyle name="Accent6 10" xfId="464"/>
    <cellStyle name="Accent6 11" xfId="424"/>
    <cellStyle name="Accent6 12" xfId="468"/>
    <cellStyle name="Accent6 13" xfId="567"/>
    <cellStyle name="Accent6 14" xfId="637"/>
    <cellStyle name="Accent6 15" xfId="643"/>
    <cellStyle name="Accent6 16" xfId="674"/>
    <cellStyle name="Accent6 2" xfId="106"/>
    <cellStyle name="Accent6 2 2" xfId="568"/>
    <cellStyle name="Accent6 2 3" xfId="335"/>
    <cellStyle name="Accent6 3" xfId="107"/>
    <cellStyle name="Accent6 3 2" xfId="569"/>
    <cellStyle name="Accent6 3 3" xfId="429"/>
    <cellStyle name="Accent6 4" xfId="108"/>
    <cellStyle name="Accent6 4 2" xfId="570"/>
    <cellStyle name="Accent6 4 3" xfId="435"/>
    <cellStyle name="Accent6 5" xfId="428"/>
    <cellStyle name="Accent6 6" xfId="436"/>
    <cellStyle name="Accent6 7" xfId="427"/>
    <cellStyle name="Accent6 8" xfId="437"/>
    <cellStyle name="Accent6 9" xfId="432"/>
    <cellStyle name="Bad" xfId="109" builtinId="27" customBuiltin="1"/>
    <cellStyle name="Bad 2" xfId="110"/>
    <cellStyle name="Bad 2 2" xfId="572"/>
    <cellStyle name="Bad 2 3" xfId="339"/>
    <cellStyle name="Bad 3" xfId="111"/>
    <cellStyle name="Bad 4" xfId="112"/>
    <cellStyle name="Bad 5" xfId="571"/>
    <cellStyle name="Bad 6" xfId="675"/>
    <cellStyle name="Calculation" xfId="113" builtinId="22" customBuiltin="1"/>
    <cellStyle name="Calculation 2" xfId="114"/>
    <cellStyle name="Calculation 2 2" xfId="574"/>
    <cellStyle name="Calculation 2 3" xfId="340"/>
    <cellStyle name="Calculation 3" xfId="115"/>
    <cellStyle name="Calculation 4" xfId="116"/>
    <cellStyle name="Calculation 5" xfId="573"/>
    <cellStyle name="Calculation 6" xfId="676"/>
    <cellStyle name="Check Cell" xfId="117" builtinId="23" customBuiltin="1"/>
    <cellStyle name="Check Cell 2" xfId="118"/>
    <cellStyle name="Check Cell 2 2" xfId="576"/>
    <cellStyle name="Check Cell 2 3" xfId="341"/>
    <cellStyle name="Check Cell 3" xfId="119"/>
    <cellStyle name="Check Cell 4" xfId="120"/>
    <cellStyle name="Check Cell 5" xfId="575"/>
    <cellStyle name="Check Cell 6" xfId="677"/>
    <cellStyle name="Comma" xfId="121" builtinId="3"/>
    <cellStyle name="Comma [0] 2" xfId="343"/>
    <cellStyle name="Comma [0] 3" xfId="296"/>
    <cellStyle name="Comma [0] 3 2" xfId="699"/>
    <cellStyle name="Comma [0] 3 2 2" xfId="729"/>
    <cellStyle name="Comma [0] 3 2 3" xfId="754"/>
    <cellStyle name="Comma [0] 3 3" xfId="717"/>
    <cellStyle name="Comma [0] 3 4" xfId="742"/>
    <cellStyle name="Comma [0] 4" xfId="472"/>
    <cellStyle name="Comma 10" xfId="434"/>
    <cellStyle name="Comma 11" xfId="466"/>
    <cellStyle name="Comma 12" xfId="469"/>
    <cellStyle name="Comma 13" xfId="473"/>
    <cellStyle name="Comma 13 2" xfId="474"/>
    <cellStyle name="Comma 13 2 2" xfId="701"/>
    <cellStyle name="Comma 13 2 2 2" xfId="731"/>
    <cellStyle name="Comma 13 2 2 3" xfId="756"/>
    <cellStyle name="Comma 13 2 3" xfId="719"/>
    <cellStyle name="Comma 13 2 4" xfId="744"/>
    <cellStyle name="Comma 14" xfId="577"/>
    <cellStyle name="Comma 15" xfId="638"/>
    <cellStyle name="Comma 16" xfId="639"/>
    <cellStyle name="Comma 17" xfId="647"/>
    <cellStyle name="Comma 18" xfId="678"/>
    <cellStyle name="Comma 19" xfId="707"/>
    <cellStyle name="Comma 2" xfId="122"/>
    <cellStyle name="Comma 2 2" xfId="123"/>
    <cellStyle name="Comma 2 2 2" xfId="783"/>
    <cellStyle name="Comma 2 3" xfId="578"/>
    <cellStyle name="Comma 2 4" xfId="342"/>
    <cellStyle name="Comma 3" xfId="124"/>
    <cellStyle name="Comma 3 2" xfId="125"/>
    <cellStyle name="Comma 3 2 2" xfId="784"/>
    <cellStyle name="Comma 3 3" xfId="579"/>
    <cellStyle name="Comma 3 3 2" xfId="765"/>
    <cellStyle name="Comma 3 4" xfId="431"/>
    <cellStyle name="Comma 4" xfId="126"/>
    <cellStyle name="Comma 4 2" xfId="580"/>
    <cellStyle name="Comma 4 2 2" xfId="782"/>
    <cellStyle name="Comma 4 3" xfId="400"/>
    <cellStyle name="Comma 4 4" xfId="266"/>
    <cellStyle name="Comma 5" xfId="127"/>
    <cellStyle name="Comma 5 2" xfId="581"/>
    <cellStyle name="Comma 5 3" xfId="458"/>
    <cellStyle name="Comma 5 4" xfId="267"/>
    <cellStyle name="Comma 6" xfId="128"/>
    <cellStyle name="Comma 6 2" xfId="582"/>
    <cellStyle name="Comma 6 2 2" xfId="702"/>
    <cellStyle name="Comma 6 2 2 2" xfId="732"/>
    <cellStyle name="Comma 6 2 2 3" xfId="757"/>
    <cellStyle name="Comma 6 2 3" xfId="720"/>
    <cellStyle name="Comma 6 2 4" xfId="745"/>
    <cellStyle name="Comma 6 3" xfId="461"/>
    <cellStyle name="Comma 6 4" xfId="679"/>
    <cellStyle name="Comma 6 4 2" xfId="724"/>
    <cellStyle name="Comma 6 4 3" xfId="749"/>
    <cellStyle name="Comma 6 5" xfId="268"/>
    <cellStyle name="Comma 6 5 2" xfId="712"/>
    <cellStyle name="Comma 6 5 3" xfId="737"/>
    <cellStyle name="Comma 6 6" xfId="708"/>
    <cellStyle name="Comma 6 6 2" xfId="760"/>
    <cellStyle name="Comma 6 7" xfId="710"/>
    <cellStyle name="Comma 6 8" xfId="735"/>
    <cellStyle name="Comma 7" xfId="129"/>
    <cellStyle name="Comma 7 2" xfId="583"/>
    <cellStyle name="Comma 7 3" xfId="462"/>
    <cellStyle name="Comma 7 4" xfId="269"/>
    <cellStyle name="Comma 8" xfId="130"/>
    <cellStyle name="Comma 8 2" xfId="584"/>
    <cellStyle name="Comma 8 3" xfId="465"/>
    <cellStyle name="Comma 8 4" xfId="270"/>
    <cellStyle name="Comma 9" xfId="433"/>
    <cellStyle name="Currency" xfId="131" builtinId="4"/>
    <cellStyle name="Currency 2" xfId="132"/>
    <cellStyle name="Currency 2 2" xfId="585"/>
    <cellStyle name="Currency 2 2 2" xfId="785"/>
    <cellStyle name="Currency 2 3" xfId="271"/>
    <cellStyle name="Currency 3" xfId="133"/>
    <cellStyle name="Currency 3 2" xfId="586"/>
    <cellStyle name="Currency 3 3" xfId="272"/>
    <cellStyle name="Currency 4" xfId="134"/>
    <cellStyle name="Currency 4 2" xfId="587"/>
    <cellStyle name="Currency 4 3" xfId="273"/>
    <cellStyle name="Currency 5" xfId="135"/>
    <cellStyle name="Currency 5 2" xfId="588"/>
    <cellStyle name="Currency 5 3" xfId="274"/>
    <cellStyle name="Currency 6" xfId="287"/>
    <cellStyle name="Currency 7" xfId="706"/>
    <cellStyle name="Currency 7 2" xfId="766"/>
    <cellStyle name="Emphasis 1" xfId="344"/>
    <cellStyle name="Emphasis 2" xfId="345"/>
    <cellStyle name="Emphasis 3" xfId="346"/>
    <cellStyle name="Explanatory Text" xfId="136" builtinId="53" customBuiltin="1"/>
    <cellStyle name="Explanatory Text 2" xfId="137"/>
    <cellStyle name="Explanatory Text 2 2" xfId="590"/>
    <cellStyle name="Explanatory Text 2 3" xfId="347"/>
    <cellStyle name="Explanatory Text 3" xfId="138"/>
    <cellStyle name="Explanatory Text 4" xfId="139"/>
    <cellStyle name="Explanatory Text 5" xfId="589"/>
    <cellStyle name="Explanatory Text 6" xfId="680"/>
    <cellStyle name="Good" xfId="140" builtinId="26" customBuiltin="1"/>
    <cellStyle name="Good 2" xfId="141"/>
    <cellStyle name="Good 2 2" xfId="592"/>
    <cellStyle name="Good 2 3" xfId="348"/>
    <cellStyle name="Good 3" xfId="142"/>
    <cellStyle name="Good 4" xfId="143"/>
    <cellStyle name="Good 5" xfId="591"/>
    <cellStyle name="Good 6" xfId="681"/>
    <cellStyle name="Heading 1" xfId="144" builtinId="16" customBuiltin="1"/>
    <cellStyle name="Heading 1 2" xfId="145"/>
    <cellStyle name="Heading 1 2 2" xfId="594"/>
    <cellStyle name="Heading 1 2 3" xfId="349"/>
    <cellStyle name="Heading 1 3" xfId="146"/>
    <cellStyle name="Heading 1 4" xfId="147"/>
    <cellStyle name="Heading 1 5" xfId="593"/>
    <cellStyle name="Heading 1 6" xfId="682"/>
    <cellStyle name="Heading 2" xfId="148" builtinId="17" customBuiltin="1"/>
    <cellStyle name="Heading 2 2" xfId="149"/>
    <cellStyle name="Heading 2 2 2" xfId="596"/>
    <cellStyle name="Heading 2 2 3" xfId="350"/>
    <cellStyle name="Heading 2 3" xfId="150"/>
    <cellStyle name="Heading 2 4" xfId="151"/>
    <cellStyle name="Heading 2 5" xfId="595"/>
    <cellStyle name="Heading 2 6" xfId="683"/>
    <cellStyle name="Heading 3" xfId="152" builtinId="18" customBuiltin="1"/>
    <cellStyle name="Heading 3 2" xfId="153"/>
    <cellStyle name="Heading 3 2 2" xfId="598"/>
    <cellStyle name="Heading 3 2 3" xfId="351"/>
    <cellStyle name="Heading 3 3" xfId="154"/>
    <cellStyle name="Heading 3 4" xfId="155"/>
    <cellStyle name="Heading 3 5" xfId="597"/>
    <cellStyle name="Heading 3 6" xfId="684"/>
    <cellStyle name="Heading 4" xfId="156" builtinId="19" customBuiltin="1"/>
    <cellStyle name="Heading 4 2" xfId="157"/>
    <cellStyle name="Heading 4 2 2" xfId="600"/>
    <cellStyle name="Heading 4 2 3" xfId="352"/>
    <cellStyle name="Heading 4 3" xfId="158"/>
    <cellStyle name="Heading 4 4" xfId="159"/>
    <cellStyle name="Heading 4 5" xfId="599"/>
    <cellStyle name="Heading 4 6" xfId="685"/>
    <cellStyle name="Input" xfId="160" builtinId="20" customBuiltin="1"/>
    <cellStyle name="Input 2" xfId="161"/>
    <cellStyle name="Input 2 2" xfId="602"/>
    <cellStyle name="Input 2 3" xfId="353"/>
    <cellStyle name="Input 3" xfId="162"/>
    <cellStyle name="Input 4" xfId="163"/>
    <cellStyle name="Input 5" xfId="601"/>
    <cellStyle name="Input 6" xfId="686"/>
    <cellStyle name="Linked Cell" xfId="164" builtinId="24" customBuiltin="1"/>
    <cellStyle name="Linked Cell 2" xfId="165"/>
    <cellStyle name="Linked Cell 2 2" xfId="604"/>
    <cellStyle name="Linked Cell 2 3" xfId="354"/>
    <cellStyle name="Linked Cell 3" xfId="166"/>
    <cellStyle name="Linked Cell 4" xfId="167"/>
    <cellStyle name="Linked Cell 5" xfId="603"/>
    <cellStyle name="Linked Cell 6" xfId="687"/>
    <cellStyle name="Neutral" xfId="168" builtinId="28" customBuiltin="1"/>
    <cellStyle name="Neutral 2" xfId="169"/>
    <cellStyle name="Neutral 2 2" xfId="606"/>
    <cellStyle name="Neutral 2 3" xfId="355"/>
    <cellStyle name="Neutral 3" xfId="170"/>
    <cellStyle name="Neutral 4" xfId="171"/>
    <cellStyle name="Neutral 5" xfId="605"/>
    <cellStyle name="Neutral 6" xfId="688"/>
    <cellStyle name="Normal" xfId="0" builtinId="0"/>
    <cellStyle name="Normal 10" xfId="289"/>
    <cellStyle name="Normal 10 2" xfId="629"/>
    <cellStyle name="Normal 10 2 2" xfId="704"/>
    <cellStyle name="Normal 10 2 2 2" xfId="734"/>
    <cellStyle name="Normal 10 2 2 3" xfId="759"/>
    <cellStyle name="Normal 10 2 3" xfId="722"/>
    <cellStyle name="Normal 10 2 4" xfId="747"/>
    <cellStyle name="Normal 10 3" xfId="696"/>
    <cellStyle name="Normal 10 3 2" xfId="726"/>
    <cellStyle name="Normal 10 3 3" xfId="751"/>
    <cellStyle name="Normal 10 4" xfId="714"/>
    <cellStyle name="Normal 10 4 2" xfId="761"/>
    <cellStyle name="Normal 10 5" xfId="739"/>
    <cellStyle name="Normal 11" xfId="291"/>
    <cellStyle name="Normal 11 2" xfId="630"/>
    <cellStyle name="Normal 12" xfId="294"/>
    <cellStyle name="Normal 12 2" xfId="764"/>
    <cellStyle name="Normal 13" xfId="292"/>
    <cellStyle name="Normal 13 2" xfId="697"/>
    <cellStyle name="Normal 13 2 2" xfId="727"/>
    <cellStyle name="Normal 13 2 3" xfId="752"/>
    <cellStyle name="Normal 13 3" xfId="715"/>
    <cellStyle name="Normal 13 4" xfId="740"/>
    <cellStyle name="Normal 14" xfId="645"/>
    <cellStyle name="Normal 14 2" xfId="705"/>
    <cellStyle name="Normal 15" xfId="646"/>
    <cellStyle name="Normal 16" xfId="650"/>
    <cellStyle name="Normal 17" xfId="649"/>
    <cellStyle name="Normal 17 2" xfId="723"/>
    <cellStyle name="Normal 17 3" xfId="748"/>
    <cellStyle name="Normal 2" xfId="172"/>
    <cellStyle name="Normal 2 2" xfId="173"/>
    <cellStyle name="Normal 2 2 2" xfId="787"/>
    <cellStyle name="Normal 2 3" xfId="767"/>
    <cellStyle name="Normal 2 3 2" xfId="788"/>
    <cellStyle name="Normal 2 4" xfId="768"/>
    <cellStyle name="Normal 2 4 2" xfId="789"/>
    <cellStyle name="Normal 2 5" xfId="786"/>
    <cellStyle name="Normal 2 6" xfId="771"/>
    <cellStyle name="Normal 2 6 2" xfId="795"/>
    <cellStyle name="Normal 2 6 2 2" xfId="801"/>
    <cellStyle name="Normal 2 6 2 3" xfId="805"/>
    <cellStyle name="Normal 2 6 2 4" xfId="809"/>
    <cellStyle name="Normal 2 6 3" xfId="796"/>
    <cellStyle name="Normal 2 6 4" xfId="799"/>
    <cellStyle name="Normal 2 6 5" xfId="803"/>
    <cellStyle name="Normal 2 6 6" xfId="807"/>
    <cellStyle name="Normal 3" xfId="174"/>
    <cellStyle name="Normal 3 2" xfId="607"/>
    <cellStyle name="Normal 3 2 2" xfId="790"/>
    <cellStyle name="Normal 3 3" xfId="295"/>
    <cellStyle name="Normal 3 3 2" xfId="698"/>
    <cellStyle name="Normal 3 3 2 2" xfId="728"/>
    <cellStyle name="Normal 3 3 2 3" xfId="753"/>
    <cellStyle name="Normal 3 3 3" xfId="716"/>
    <cellStyle name="Normal 3 3 4" xfId="741"/>
    <cellStyle name="Normal 4" xfId="175"/>
    <cellStyle name="Normal 4 2" xfId="290"/>
    <cellStyle name="Normal 4 3" xfId="470"/>
    <cellStyle name="Normal 4 3 2" xfId="700"/>
    <cellStyle name="Normal 4 3 2 2" xfId="730"/>
    <cellStyle name="Normal 4 3 2 3" xfId="755"/>
    <cellStyle name="Normal 4 3 3" xfId="718"/>
    <cellStyle name="Normal 4 3 4" xfId="743"/>
    <cellStyle name="Normal 5" xfId="176"/>
    <cellStyle name="Normal 5 2" xfId="177"/>
    <cellStyle name="Normal 5 2 2" xfId="792"/>
    <cellStyle name="Normal 5 3" xfId="608"/>
    <cellStyle name="Normal 5 3 2" xfId="781"/>
    <cellStyle name="Normal 5 4" xfId="471"/>
    <cellStyle name="Normal 6" xfId="178"/>
    <cellStyle name="Normal 6 2" xfId="609"/>
    <cellStyle name="Normal 6 2 2" xfId="800"/>
    <cellStyle name="Normal 6 2 3" xfId="804"/>
    <cellStyle name="Normal 6 2 4" xfId="808"/>
    <cellStyle name="Normal 6 2 5" xfId="794"/>
    <cellStyle name="Normal 6 3" xfId="293"/>
    <cellStyle name="Normal 6 3 2" xfId="797"/>
    <cellStyle name="Normal 6 4" xfId="275"/>
    <cellStyle name="Normal 6 4 2" xfId="798"/>
    <cellStyle name="Normal 6 5" xfId="802"/>
    <cellStyle name="Normal 6 6" xfId="806"/>
    <cellStyle name="Normal 6 7" xfId="770"/>
    <cellStyle name="Normal 7" xfId="179"/>
    <cellStyle name="Normal 7 2" xfId="610"/>
    <cellStyle name="Normal 7 2 2" xfId="703"/>
    <cellStyle name="Normal 7 2 2 2" xfId="733"/>
    <cellStyle name="Normal 7 2 2 3" xfId="758"/>
    <cellStyle name="Normal 7 2 3" xfId="721"/>
    <cellStyle name="Normal 7 2 3 2" xfId="763"/>
    <cellStyle name="Normal 7 2 4" xfId="746"/>
    <cellStyle name="Normal 7 3" xfId="689"/>
    <cellStyle name="Normal 7 3 2" xfId="725"/>
    <cellStyle name="Normal 7 3 2 2" xfId="793"/>
    <cellStyle name="Normal 7 3 3" xfId="750"/>
    <cellStyle name="Normal 7 4" xfId="276"/>
    <cellStyle name="Normal 7 4 2" xfId="713"/>
    <cellStyle name="Normal 7 4 3" xfId="738"/>
    <cellStyle name="Normal 7 5" xfId="709"/>
    <cellStyle name="Normal 7 5 2" xfId="762"/>
    <cellStyle name="Normal 7 6" xfId="711"/>
    <cellStyle name="Normal 7 7" xfId="736"/>
    <cellStyle name="Normal 8" xfId="180"/>
    <cellStyle name="Normal 8 2" xfId="611"/>
    <cellStyle name="Normal 8 3" xfId="277"/>
    <cellStyle name="Normal 9" xfId="181"/>
    <cellStyle name="Normal 9 2" xfId="612"/>
    <cellStyle name="Normal 9 3" xfId="278"/>
    <cellStyle name="Normal_2008 ISO Transmission Study" xfId="182"/>
    <cellStyle name="Normal_2008 ISO Transmission Study test v1" xfId="183"/>
    <cellStyle name="Normal_2008 ISO Transmission Study test v1 2" xfId="184"/>
    <cellStyle name="Normal_2008 ISO Transmission Study test v1_TS by Location" xfId="185"/>
    <cellStyle name="Normal_2008 ISO Transmission Study_DS by Location" xfId="186"/>
    <cellStyle name="Normal_ISO TransLines ao 12-2005" xfId="187"/>
    <cellStyle name="Normal_'Work Order' to 'Plant Locations'" xfId="188"/>
    <cellStyle name="Note" xfId="189" builtinId="10" customBuiltin="1"/>
    <cellStyle name="Note 2" xfId="190"/>
    <cellStyle name="Note 2 2" xfId="614"/>
    <cellStyle name="Note 2 3" xfId="356"/>
    <cellStyle name="Note 2 4" xfId="279"/>
    <cellStyle name="Note 3" xfId="191"/>
    <cellStyle name="Note 3 2" xfId="615"/>
    <cellStyle name="Note 3 3" xfId="280"/>
    <cellStyle name="Note 4" xfId="192"/>
    <cellStyle name="Note 4 2" xfId="616"/>
    <cellStyle name="Note 4 3" xfId="281"/>
    <cellStyle name="Note 5" xfId="193"/>
    <cellStyle name="Note 5 2" xfId="617"/>
    <cellStyle name="Note 5 3" xfId="282"/>
    <cellStyle name="Note 6" xfId="613"/>
    <cellStyle name="Note 7" xfId="690"/>
    <cellStyle name="Output" xfId="194" builtinId="21" customBuiltin="1"/>
    <cellStyle name="Output 2" xfId="195"/>
    <cellStyle name="Output 2 2" xfId="619"/>
    <cellStyle name="Output 2 3" xfId="357"/>
    <cellStyle name="Output 3" xfId="196"/>
    <cellStyle name="Output 4" xfId="197"/>
    <cellStyle name="Output 5" xfId="618"/>
    <cellStyle name="Output 6" xfId="691"/>
    <cellStyle name="Percent" xfId="198" builtinId="5"/>
    <cellStyle name="Percent 10" xfId="648"/>
    <cellStyle name="Percent 11" xfId="692"/>
    <cellStyle name="Percent 2" xfId="199"/>
    <cellStyle name="Percent 2 2" xfId="769"/>
    <cellStyle name="Percent 3" xfId="200"/>
    <cellStyle name="Percent 3 2" xfId="201"/>
    <cellStyle name="Percent 4" xfId="202"/>
    <cellStyle name="Percent 4 2" xfId="621"/>
    <cellStyle name="Percent 4 2 2" xfId="791"/>
    <cellStyle name="Percent 4 3" xfId="283"/>
    <cellStyle name="Percent 5" xfId="203"/>
    <cellStyle name="Percent 5 2" xfId="622"/>
    <cellStyle name="Percent 5 3" xfId="284"/>
    <cellStyle name="Percent 6" xfId="204"/>
    <cellStyle name="Percent 6 2" xfId="623"/>
    <cellStyle name="Percent 6 3" xfId="285"/>
    <cellStyle name="Percent 7" xfId="205"/>
    <cellStyle name="Percent 7 2" xfId="624"/>
    <cellStyle name="Percent 7 3" xfId="286"/>
    <cellStyle name="Percent 8" xfId="288"/>
    <cellStyle name="Percent 9" xfId="620"/>
    <cellStyle name="SAPBEXaggData" xfId="358"/>
    <cellStyle name="SAPBEXaggDataEmph" xfId="359"/>
    <cellStyle name="SAPBEXaggItem" xfId="360"/>
    <cellStyle name="SAPBEXaggItemX" xfId="361"/>
    <cellStyle name="SAPBEXchaText" xfId="362"/>
    <cellStyle name="SAPBEXexcBad7" xfId="363"/>
    <cellStyle name="SAPBEXexcBad8" xfId="364"/>
    <cellStyle name="SAPBEXexcBad9" xfId="365"/>
    <cellStyle name="SAPBEXexcCritical4" xfId="366"/>
    <cellStyle name="SAPBEXexcCritical5" xfId="367"/>
    <cellStyle name="SAPBEXexcCritical6" xfId="368"/>
    <cellStyle name="SAPBEXexcGood1" xfId="369"/>
    <cellStyle name="SAPBEXexcGood2" xfId="370"/>
    <cellStyle name="SAPBEXexcGood3" xfId="371"/>
    <cellStyle name="SAPBEXfilterDrill" xfId="372"/>
    <cellStyle name="SAPBEXfilterItem" xfId="373"/>
    <cellStyle name="SAPBEXfilterText" xfId="374"/>
    <cellStyle name="SAPBEXformats" xfId="375"/>
    <cellStyle name="SAPBEXheaderItem" xfId="376"/>
    <cellStyle name="SAPBEXheaderText" xfId="377"/>
    <cellStyle name="SAPBEXHLevel0" xfId="378"/>
    <cellStyle name="SAPBEXHLevel0 2" xfId="772"/>
    <cellStyle name="SAPBEXHLevel0X" xfId="379"/>
    <cellStyle name="SAPBEXHLevel0X 2" xfId="773"/>
    <cellStyle name="SAPBEXHLevel1" xfId="380"/>
    <cellStyle name="SAPBEXHLevel1 2" xfId="774"/>
    <cellStyle name="SAPBEXHLevel1X" xfId="381"/>
    <cellStyle name="SAPBEXHLevel1X 2" xfId="775"/>
    <cellStyle name="SAPBEXHLevel2" xfId="382"/>
    <cellStyle name="SAPBEXHLevel2 2" xfId="776"/>
    <cellStyle name="SAPBEXHLevel2X" xfId="383"/>
    <cellStyle name="SAPBEXHLevel2X 2" xfId="777"/>
    <cellStyle name="SAPBEXHLevel3" xfId="384"/>
    <cellStyle name="SAPBEXHLevel3 2" xfId="778"/>
    <cellStyle name="SAPBEXHLevel3X" xfId="385"/>
    <cellStyle name="SAPBEXHLevel3X 2" xfId="779"/>
    <cellStyle name="SAPBEXinputData" xfId="386"/>
    <cellStyle name="SAPBEXinputData 2" xfId="780"/>
    <cellStyle name="SAPBEXresData" xfId="387"/>
    <cellStyle name="SAPBEXresDataEmph" xfId="388"/>
    <cellStyle name="SAPBEXresItem" xfId="389"/>
    <cellStyle name="SAPBEXresItemX" xfId="390"/>
    <cellStyle name="SAPBEXstdData" xfId="391"/>
    <cellStyle name="SAPBEXstdDataEmph" xfId="392"/>
    <cellStyle name="SAPBEXstdItem" xfId="393"/>
    <cellStyle name="SAPBEXstdItemX" xfId="394"/>
    <cellStyle name="SAPBEXtitle" xfId="395"/>
    <cellStyle name="SAPBEXundefined" xfId="396"/>
    <cellStyle name="Sheet Title" xfId="397"/>
    <cellStyle name="Title" xfId="206" builtinId="15" customBuiltin="1"/>
    <cellStyle name="Title 2" xfId="207"/>
    <cellStyle name="Title 2 2" xfId="626"/>
    <cellStyle name="Title 2 3" xfId="398"/>
    <cellStyle name="Title 3" xfId="208"/>
    <cellStyle name="Title 4" xfId="209"/>
    <cellStyle name="Title 5" xfId="625"/>
    <cellStyle name="Title 6" xfId="693"/>
    <cellStyle name="Total" xfId="210" builtinId="25" customBuiltin="1"/>
    <cellStyle name="Total 2" xfId="211"/>
    <cellStyle name="Total 2 2" xfId="628"/>
    <cellStyle name="Total 2 3" xfId="399"/>
    <cellStyle name="Total 3" xfId="212"/>
    <cellStyle name="Total 4" xfId="213"/>
    <cellStyle name="Total 5" xfId="627"/>
    <cellStyle name="Total 6" xfId="694"/>
    <cellStyle name="Warning Text" xfId="214" builtinId="11" customBuiltin="1"/>
    <cellStyle name="Warning Text 2" xfId="215"/>
    <cellStyle name="Warning Text 3" xfId="216"/>
    <cellStyle name="Warning Text 4" xfId="217"/>
    <cellStyle name="Warning Text 5" xfId="695"/>
  </cellStyles>
  <dxfs count="7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Drop" dropLines="2" dropStyle="combo" dx="16" fmlaLink="$H$1" fmlaRange="$G$3:$G$4" noThreeD="1" sel="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1190625</xdr:colOff>
          <xdr:row>0</xdr:row>
          <xdr:rowOff>0</xdr:rowOff>
        </xdr:from>
        <xdr:to>
          <xdr:col>7</xdr:col>
          <xdr:colOff>314325</xdr:colOff>
          <xdr:row>0</xdr:row>
          <xdr:rowOff>200025</xdr:rowOff>
        </xdr:to>
        <xdr:sp macro="" textlink="">
          <xdr:nvSpPr>
            <xdr:cNvPr id="21507" name="Drop Down 3" hidden="1">
              <a:extLst>
                <a:ext uri="{63B3BB69-23CF-44E3-9099-C40C66FF867C}">
                  <a14:compatExt spid="_x0000_s21507"/>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row r="107">
          <cell r="V107">
            <v>73689</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pageSetUpPr fitToPage="1"/>
  </sheetPr>
  <dimension ref="A1:O47"/>
  <sheetViews>
    <sheetView showGridLines="0" tabSelected="1" zoomScale="93" zoomScaleNormal="93" workbookViewId="0">
      <selection activeCell="A2" sqref="A2:E2"/>
    </sheetView>
  </sheetViews>
  <sheetFormatPr defaultRowHeight="12.75" x14ac:dyDescent="0.2"/>
  <cols>
    <col min="1" max="1" width="20.42578125" style="2" customWidth="1"/>
    <col min="2" max="2" width="14" style="2" bestFit="1" customWidth="1"/>
    <col min="3" max="4" width="18" style="2" customWidth="1"/>
    <col min="5" max="5" width="12.28515625" style="2" customWidth="1"/>
    <col min="6" max="6" width="12.140625" style="11" bestFit="1" customWidth="1"/>
    <col min="7" max="7" width="18" style="2" customWidth="1"/>
    <col min="8" max="8" width="14.5703125" style="352" bestFit="1" customWidth="1"/>
    <col min="9" max="9" width="3.28515625" style="2" customWidth="1"/>
    <col min="10" max="10" width="2" style="352" bestFit="1" customWidth="1"/>
    <col min="11" max="11" width="2" style="2" bestFit="1" customWidth="1"/>
    <col min="12" max="12" width="18.140625" style="2" bestFit="1" customWidth="1"/>
    <col min="13" max="13" width="11" style="2" bestFit="1" customWidth="1"/>
    <col min="14" max="16384" width="9.140625" style="2"/>
  </cols>
  <sheetData>
    <row r="1" spans="1:15" ht="18.75" x14ac:dyDescent="0.3">
      <c r="A1" s="767" t="s">
        <v>1429</v>
      </c>
      <c r="B1" s="767"/>
      <c r="C1" s="767"/>
      <c r="D1" s="767"/>
      <c r="E1" s="767"/>
      <c r="G1" s="137" t="s">
        <v>106</v>
      </c>
      <c r="H1" s="351">
        <v>2</v>
      </c>
      <c r="J1" s="765" t="str">
        <f>IF(H1=1,I3,IF(H1=2,I4,""))</f>
        <v>Assuming EKWRA Reconfiguration HAS NOT occurred</v>
      </c>
      <c r="K1" s="765"/>
      <c r="L1" s="765"/>
      <c r="M1" s="765"/>
      <c r="N1" s="765"/>
      <c r="O1" s="765"/>
    </row>
    <row r="2" spans="1:15" ht="15.75" x14ac:dyDescent="0.25">
      <c r="A2" s="768" t="s">
        <v>978</v>
      </c>
      <c r="B2" s="768"/>
      <c r="C2" s="768"/>
      <c r="D2" s="768"/>
      <c r="E2" s="768"/>
    </row>
    <row r="3" spans="1:15" ht="15.75" x14ac:dyDescent="0.25">
      <c r="A3" s="769" t="s">
        <v>1716</v>
      </c>
      <c r="B3" s="769"/>
      <c r="C3" s="769"/>
      <c r="D3" s="769"/>
      <c r="E3" s="769"/>
      <c r="G3" s="144">
        <v>1</v>
      </c>
      <c r="H3" s="353" t="s">
        <v>1456</v>
      </c>
      <c r="I3" s="2" t="s">
        <v>112</v>
      </c>
    </row>
    <row r="4" spans="1:15" ht="18.75" customHeight="1" x14ac:dyDescent="0.2">
      <c r="C4" s="145"/>
      <c r="G4" s="144">
        <v>2</v>
      </c>
      <c r="H4" s="353" t="s">
        <v>1456</v>
      </c>
      <c r="I4" s="2" t="s">
        <v>113</v>
      </c>
    </row>
    <row r="5" spans="1:15" x14ac:dyDescent="0.2">
      <c r="A5" s="770" t="s">
        <v>979</v>
      </c>
      <c r="B5" s="770"/>
      <c r="C5" s="770"/>
      <c r="D5" s="770"/>
      <c r="E5" s="770"/>
    </row>
    <row r="6" spans="1:15" ht="16.5" thickBot="1" x14ac:dyDescent="0.3">
      <c r="A6" s="766" t="s">
        <v>980</v>
      </c>
      <c r="B6" s="766"/>
      <c r="C6" s="766"/>
      <c r="D6" s="766"/>
      <c r="E6" s="766"/>
      <c r="G6" s="77"/>
    </row>
    <row r="7" spans="1:15" s="4" customFormat="1" ht="30" customHeight="1" x14ac:dyDescent="0.2">
      <c r="A7" s="107"/>
      <c r="B7" s="108" t="s">
        <v>1717</v>
      </c>
      <c r="C7" s="108" t="s">
        <v>981</v>
      </c>
      <c r="D7" s="108" t="s">
        <v>982</v>
      </c>
      <c r="E7" s="109" t="s">
        <v>983</v>
      </c>
      <c r="F7" s="504"/>
      <c r="G7" s="77"/>
      <c r="H7" s="352"/>
      <c r="I7" s="156"/>
      <c r="J7" s="355"/>
    </row>
    <row r="8" spans="1:15" x14ac:dyDescent="0.2">
      <c r="A8" s="75" t="s">
        <v>1718</v>
      </c>
      <c r="B8" s="75"/>
      <c r="C8" s="76"/>
      <c r="D8" s="76"/>
      <c r="E8" s="77"/>
      <c r="F8" s="157"/>
      <c r="G8" s="77"/>
      <c r="I8" s="77"/>
    </row>
    <row r="9" spans="1:15" x14ac:dyDescent="0.2">
      <c r="A9" s="72">
        <v>350</v>
      </c>
      <c r="B9" s="7">
        <v>238723489</v>
      </c>
      <c r="C9" s="7">
        <f>'TS by Location'!D482</f>
        <v>238723489.63000003</v>
      </c>
      <c r="D9" s="682">
        <v>156609994.5273841</v>
      </c>
      <c r="E9" s="683">
        <f>D9/C9</f>
        <v>0.65603093675496926</v>
      </c>
      <c r="F9" s="157"/>
      <c r="G9" s="77"/>
    </row>
    <row r="10" spans="1:15" x14ac:dyDescent="0.2">
      <c r="A10" s="72"/>
      <c r="B10" s="9"/>
      <c r="C10" s="9"/>
      <c r="D10" s="680"/>
      <c r="E10" s="684"/>
      <c r="F10" s="157"/>
      <c r="G10" s="77"/>
      <c r="I10" s="350"/>
    </row>
    <row r="11" spans="1:15" x14ac:dyDescent="0.2">
      <c r="A11" s="71" t="s">
        <v>988</v>
      </c>
      <c r="B11" s="9"/>
      <c r="C11" s="9"/>
      <c r="D11" s="680"/>
      <c r="E11" s="684"/>
      <c r="F11" s="76"/>
      <c r="G11" s="77"/>
      <c r="I11" s="350"/>
    </row>
    <row r="12" spans="1:15" x14ac:dyDescent="0.2">
      <c r="A12" s="72">
        <v>352</v>
      </c>
      <c r="B12" s="9">
        <v>334506130.03000003</v>
      </c>
      <c r="C12" s="9">
        <f>'TS by Location'!E482</f>
        <v>334506130.02999997</v>
      </c>
      <c r="D12" s="680">
        <v>169829370.97630838</v>
      </c>
      <c r="E12" s="684">
        <f t="shared" ref="E12:E23" si="0">D12/C12</f>
        <v>0.50770181987719432</v>
      </c>
      <c r="F12" s="157"/>
      <c r="G12" s="77"/>
      <c r="K12" s="352"/>
    </row>
    <row r="13" spans="1:15" x14ac:dyDescent="0.2">
      <c r="A13" s="72">
        <v>353</v>
      </c>
      <c r="B13" s="7">
        <v>3421750786</v>
      </c>
      <c r="C13" s="7">
        <f>'TS by Location'!F482+698168.53</f>
        <v>3421750785.9987388</v>
      </c>
      <c r="D13" s="679">
        <v>1741359026.2235126</v>
      </c>
      <c r="E13" s="683">
        <f t="shared" si="0"/>
        <v>0.50890878241304938</v>
      </c>
      <c r="F13" s="157"/>
      <c r="G13" s="77"/>
      <c r="K13" s="352"/>
    </row>
    <row r="14" spans="1:15" x14ac:dyDescent="0.2">
      <c r="A14" s="73" t="s">
        <v>984</v>
      </c>
      <c r="B14" s="9">
        <f>SUM(B12:B13)</f>
        <v>3756256916.0300002</v>
      </c>
      <c r="C14" s="9">
        <f>SUM(C12:C13)</f>
        <v>3756256916.028739</v>
      </c>
      <c r="D14" s="680">
        <v>1911188397.199821</v>
      </c>
      <c r="E14" s="684">
        <f t="shared" si="0"/>
        <v>0.50880129871957847</v>
      </c>
      <c r="F14" s="157"/>
      <c r="G14" s="77"/>
      <c r="K14" s="352"/>
    </row>
    <row r="15" spans="1:15" x14ac:dyDescent="0.2">
      <c r="A15" s="74"/>
      <c r="B15" s="9"/>
      <c r="C15" s="9"/>
      <c r="D15" s="680"/>
      <c r="E15" s="684"/>
      <c r="F15" s="76"/>
      <c r="G15" s="77"/>
      <c r="K15" s="352"/>
    </row>
    <row r="16" spans="1:15" x14ac:dyDescent="0.2">
      <c r="A16" s="75" t="s">
        <v>986</v>
      </c>
      <c r="B16" s="9"/>
      <c r="C16" s="9"/>
      <c r="D16" s="680"/>
      <c r="E16" s="684"/>
      <c r="F16" s="76"/>
      <c r="G16" s="77"/>
      <c r="K16" s="352"/>
    </row>
    <row r="17" spans="1:12" x14ac:dyDescent="0.2">
      <c r="A17" s="72">
        <v>354</v>
      </c>
      <c r="B17" s="114">
        <v>601728049</v>
      </c>
      <c r="C17" s="114">
        <f>'TL COST SUMMARY'!F$549</f>
        <v>601728047.50999999</v>
      </c>
      <c r="D17" s="681">
        <v>550516805.02612746</v>
      </c>
      <c r="E17" s="684">
        <f t="shared" si="0"/>
        <v>0.91489304396597626</v>
      </c>
      <c r="F17" s="157"/>
      <c r="G17" s="77"/>
      <c r="K17" s="352"/>
    </row>
    <row r="18" spans="1:12" x14ac:dyDescent="0.2">
      <c r="A18" s="72">
        <v>355</v>
      </c>
      <c r="B18" s="114">
        <v>545742642</v>
      </c>
      <c r="C18" s="114">
        <f>'TL COST SUMMARY'!G$549</f>
        <v>545742641.20000005</v>
      </c>
      <c r="D18" s="681">
        <v>132075053.85948858</v>
      </c>
      <c r="E18" s="684">
        <f t="shared" si="0"/>
        <v>0.2420097751003602</v>
      </c>
      <c r="F18" s="157"/>
      <c r="G18" s="77"/>
      <c r="K18" s="352"/>
    </row>
    <row r="19" spans="1:12" x14ac:dyDescent="0.2">
      <c r="A19" s="72">
        <v>356</v>
      </c>
      <c r="B19" s="114">
        <v>617979720</v>
      </c>
      <c r="C19" s="114">
        <f>'TL COST SUMMARY'!H$549</f>
        <v>617979718.75</v>
      </c>
      <c r="D19" s="681">
        <v>421892563.22866398</v>
      </c>
      <c r="E19" s="684">
        <f t="shared" si="0"/>
        <v>0.68269645496139353</v>
      </c>
      <c r="F19" s="157"/>
      <c r="G19" s="77"/>
      <c r="K19" s="352"/>
    </row>
    <row r="20" spans="1:12" ht="12.75" customHeight="1" x14ac:dyDescent="0.2">
      <c r="A20" s="72">
        <v>357</v>
      </c>
      <c r="B20" s="114">
        <v>46153375</v>
      </c>
      <c r="C20" s="114">
        <f>'TL COST SUMMARY'!I$549</f>
        <v>46153375.859999999</v>
      </c>
      <c r="D20" s="681">
        <v>558943.06565385021</v>
      </c>
      <c r="E20" s="684">
        <f t="shared" si="0"/>
        <v>1.2110556492104243E-2</v>
      </c>
      <c r="F20" s="157"/>
      <c r="G20" s="77"/>
      <c r="K20" s="352"/>
    </row>
    <row r="21" spans="1:12" x14ac:dyDescent="0.2">
      <c r="A21" s="72">
        <v>358</v>
      </c>
      <c r="B21" s="114">
        <v>183442134</v>
      </c>
      <c r="C21" s="114">
        <f>'TL COST SUMMARY'!J$549</f>
        <v>183442133.08000001</v>
      </c>
      <c r="D21" s="681">
        <v>3408604.13081415</v>
      </c>
      <c r="E21" s="684">
        <f t="shared" si="0"/>
        <v>1.8581359001792905E-2</v>
      </c>
      <c r="F21" s="157"/>
      <c r="G21" s="77"/>
      <c r="K21" s="352"/>
    </row>
    <row r="22" spans="1:12" x14ac:dyDescent="0.2">
      <c r="A22" s="72">
        <v>359</v>
      </c>
      <c r="B22" s="158">
        <v>113892832</v>
      </c>
      <c r="C22" s="158">
        <f>'TL COST SUMMARY'!K$549</f>
        <v>113892833</v>
      </c>
      <c r="D22" s="682">
        <v>110352407.03253432</v>
      </c>
      <c r="E22" s="683">
        <f t="shared" si="0"/>
        <v>0.96891440950050223</v>
      </c>
      <c r="F22" s="157"/>
      <c r="G22" s="77"/>
      <c r="K22" s="352"/>
    </row>
    <row r="23" spans="1:12" x14ac:dyDescent="0.2">
      <c r="A23" s="73" t="s">
        <v>987</v>
      </c>
      <c r="B23" s="9">
        <f>SUM(B17:B22)</f>
        <v>2108938752</v>
      </c>
      <c r="C23" s="9">
        <f>SUM(C17:C22)</f>
        <v>2108938749.3999999</v>
      </c>
      <c r="D23" s="681">
        <v>1218804376.3432822</v>
      </c>
      <c r="E23" s="684">
        <f t="shared" si="0"/>
        <v>0.57792307941140353</v>
      </c>
      <c r="F23" s="157"/>
      <c r="G23" s="77"/>
      <c r="K23" s="352"/>
    </row>
    <row r="24" spans="1:12" x14ac:dyDescent="0.2">
      <c r="A24" s="79"/>
      <c r="B24" s="9"/>
      <c r="C24" s="9"/>
      <c r="D24" s="9"/>
      <c r="E24" s="10"/>
      <c r="G24" s="77"/>
      <c r="I24" s="350"/>
      <c r="K24" s="352"/>
    </row>
    <row r="25" spans="1:12" ht="27" customHeight="1" thickBot="1" x14ac:dyDescent="0.25">
      <c r="A25" s="102" t="s">
        <v>1719</v>
      </c>
      <c r="B25" s="159">
        <f>B9+B14+B23</f>
        <v>6103919157.0300007</v>
      </c>
      <c r="C25" s="159">
        <f>C9+C14+C23</f>
        <v>6103919155.0587387</v>
      </c>
      <c r="D25" s="159">
        <f>D9+D14+D23</f>
        <v>3286602768.070487</v>
      </c>
      <c r="E25" s="685">
        <f>D25/C25</f>
        <v>0.53844139880959152</v>
      </c>
      <c r="F25" s="505"/>
      <c r="G25" s="77"/>
      <c r="H25" s="503"/>
      <c r="I25" s="350"/>
      <c r="K25" s="352"/>
    </row>
    <row r="26" spans="1:12" x14ac:dyDescent="0.2">
      <c r="A26" s="79"/>
      <c r="B26" s="79"/>
      <c r="C26" s="12"/>
      <c r="D26" s="12"/>
      <c r="E26" s="13"/>
      <c r="G26" s="77"/>
      <c r="I26" s="350"/>
      <c r="K26" s="352"/>
    </row>
    <row r="27" spans="1:12" x14ac:dyDescent="0.2">
      <c r="A27" s="74"/>
      <c r="B27" s="74"/>
      <c r="C27" s="77"/>
      <c r="D27" s="77"/>
      <c r="E27" s="77"/>
      <c r="G27" s="77"/>
      <c r="I27" s="350"/>
      <c r="K27" s="352"/>
    </row>
    <row r="28" spans="1:12" ht="16.5" thickBot="1" x14ac:dyDescent="0.3">
      <c r="A28" s="766" t="s">
        <v>989</v>
      </c>
      <c r="B28" s="766"/>
      <c r="C28" s="766"/>
      <c r="D28" s="766"/>
      <c r="E28" s="766"/>
      <c r="G28" s="77"/>
      <c r="I28" s="350"/>
      <c r="K28" s="352"/>
    </row>
    <row r="29" spans="1:12" s="4" customFormat="1" ht="30" customHeight="1" x14ac:dyDescent="0.2">
      <c r="A29" s="107"/>
      <c r="B29" s="108" t="str">
        <f>B7</f>
        <v>Total Plant
FERC Form 1</v>
      </c>
      <c r="C29" s="108" t="s">
        <v>981</v>
      </c>
      <c r="D29" s="108" t="s">
        <v>982</v>
      </c>
      <c r="E29" s="109" t="s">
        <v>983</v>
      </c>
      <c r="F29" s="506"/>
      <c r="G29" s="77"/>
      <c r="I29" s="350"/>
      <c r="J29" s="355"/>
      <c r="K29" s="355"/>
    </row>
    <row r="30" spans="1:12" x14ac:dyDescent="0.2">
      <c r="A30" s="71" t="s">
        <v>990</v>
      </c>
      <c r="B30" s="71"/>
      <c r="C30" s="12"/>
      <c r="D30" s="12"/>
      <c r="E30" s="13"/>
      <c r="G30" s="77"/>
      <c r="I30" s="350"/>
      <c r="K30" s="352"/>
    </row>
    <row r="31" spans="1:12" x14ac:dyDescent="0.2">
      <c r="A31" s="72">
        <v>360</v>
      </c>
      <c r="B31" s="9">
        <v>105855063</v>
      </c>
      <c r="C31" s="9">
        <f>'DS by Location'!D860</f>
        <v>105855061.72000007</v>
      </c>
      <c r="D31" s="114">
        <f>'DS by Location'!H860</f>
        <v>75876.480999774722</v>
      </c>
      <c r="E31" s="10">
        <f>D31/C31</f>
        <v>7.1679596390465997E-4</v>
      </c>
      <c r="F31" s="157"/>
      <c r="G31" s="77"/>
      <c r="H31" s="451"/>
      <c r="I31" s="354"/>
      <c r="K31" s="352"/>
      <c r="L31" s="452"/>
    </row>
    <row r="32" spans="1:12" x14ac:dyDescent="0.2">
      <c r="A32" s="75" t="s">
        <v>991</v>
      </c>
      <c r="B32" s="9"/>
      <c r="C32" s="9"/>
      <c r="D32" s="9"/>
      <c r="E32" s="10"/>
      <c r="G32" s="77"/>
      <c r="H32" s="451"/>
      <c r="I32" s="350"/>
      <c r="K32" s="352"/>
    </row>
    <row r="33" spans="1:13" x14ac:dyDescent="0.2">
      <c r="A33" s="72">
        <v>361</v>
      </c>
      <c r="B33" s="9">
        <v>431350909</v>
      </c>
      <c r="C33" s="9">
        <f>'DS by Location'!E860</f>
        <v>431350910.12999976</v>
      </c>
      <c r="D33" s="9">
        <f>'DS by Location'!I860</f>
        <v>683246.94527539623</v>
      </c>
      <c r="E33" s="10">
        <f>D33/C33</f>
        <v>1.5839701023685809E-3</v>
      </c>
      <c r="F33" s="157"/>
      <c r="G33" s="77"/>
      <c r="H33" s="451"/>
      <c r="K33" s="352"/>
    </row>
    <row r="34" spans="1:13" x14ac:dyDescent="0.2">
      <c r="A34" s="72">
        <v>362</v>
      </c>
      <c r="B34" s="7">
        <v>1609973202.259999</v>
      </c>
      <c r="C34" s="7">
        <f>'DS by Location'!F860</f>
        <v>1609973202.2599988</v>
      </c>
      <c r="D34" s="7">
        <f>'DS by Location'!J860</f>
        <v>5875711.4176010117</v>
      </c>
      <c r="E34" s="8">
        <f>D34/C34</f>
        <v>3.6495709427666161E-3</v>
      </c>
      <c r="F34" s="157"/>
      <c r="G34" s="77"/>
      <c r="K34" s="352"/>
    </row>
    <row r="35" spans="1:13" x14ac:dyDescent="0.2">
      <c r="A35" s="78" t="s">
        <v>1509</v>
      </c>
      <c r="B35" s="9">
        <v>2041324112.3899989</v>
      </c>
      <c r="C35" s="9">
        <f>SUM(C33:C34)</f>
        <v>2041324112.3899984</v>
      </c>
      <c r="D35" s="9">
        <f>SUM(D33:D34)</f>
        <v>6558958.3628764078</v>
      </c>
      <c r="E35" s="10">
        <f>D35/C35</f>
        <v>3.2130901325596586E-3</v>
      </c>
      <c r="F35" s="157"/>
      <c r="G35" s="77"/>
    </row>
    <row r="36" spans="1:13" x14ac:dyDescent="0.2">
      <c r="A36" s="78"/>
      <c r="B36" s="9"/>
      <c r="C36" s="9"/>
      <c r="D36" s="9"/>
      <c r="E36" s="10"/>
      <c r="G36" s="77"/>
      <c r="I36" s="350"/>
    </row>
    <row r="37" spans="1:13" ht="27" customHeight="1" thickBot="1" x14ac:dyDescent="0.3">
      <c r="A37" s="104" t="s">
        <v>1720</v>
      </c>
      <c r="B37" s="159">
        <f>B31+B35</f>
        <v>2147179175.3899989</v>
      </c>
      <c r="C37" s="159">
        <f>C31+C35</f>
        <v>2147179174.1099985</v>
      </c>
      <c r="D37" s="159">
        <f>D31+D35</f>
        <v>6634834.8438761821</v>
      </c>
      <c r="E37" s="103">
        <f>D37/C37</f>
        <v>3.0900238433182029E-3</v>
      </c>
      <c r="F37" s="157"/>
      <c r="G37" s="77"/>
      <c r="I37" s="350"/>
      <c r="L37" s="356"/>
    </row>
    <row r="38" spans="1:13" ht="13.5" thickBot="1" x14ac:dyDescent="0.25">
      <c r="A38" s="77"/>
      <c r="B38" s="9"/>
      <c r="C38" s="9"/>
      <c r="D38" s="9"/>
      <c r="E38" s="77"/>
      <c r="G38" s="77"/>
      <c r="I38" s="352"/>
    </row>
    <row r="39" spans="1:13" ht="35.25" customHeight="1" thickBot="1" x14ac:dyDescent="0.25">
      <c r="A39" s="105" t="s">
        <v>3349</v>
      </c>
      <c r="B39" s="160">
        <f>SUM(B25,B37)</f>
        <v>8251098332.4200001</v>
      </c>
      <c r="C39" s="160">
        <f>SUM(C25,C37)</f>
        <v>8251098329.1687374</v>
      </c>
      <c r="D39" s="160">
        <f>SUM(D25,D37)</f>
        <v>3293237602.9143634</v>
      </c>
      <c r="E39" s="106">
        <f>D39/C39</f>
        <v>0.39912717938075315</v>
      </c>
      <c r="F39" s="157"/>
      <c r="G39" s="77"/>
      <c r="L39" s="11"/>
    </row>
    <row r="40" spans="1:13" x14ac:dyDescent="0.2">
      <c r="G40" s="77"/>
    </row>
    <row r="41" spans="1:13" x14ac:dyDescent="0.2">
      <c r="D41" s="63"/>
      <c r="L41" s="11"/>
    </row>
    <row r="43" spans="1:13" x14ac:dyDescent="0.2">
      <c r="D43" s="63"/>
    </row>
    <row r="45" spans="1:13" x14ac:dyDescent="0.2">
      <c r="C45" s="63"/>
      <c r="G45" s="63"/>
    </row>
    <row r="46" spans="1:13" x14ac:dyDescent="0.2">
      <c r="C46" s="134"/>
      <c r="G46" s="134"/>
      <c r="L46" s="11"/>
      <c r="M46" s="11"/>
    </row>
    <row r="47" spans="1:13" x14ac:dyDescent="0.2">
      <c r="C47" s="63"/>
      <c r="G47" s="63"/>
    </row>
  </sheetData>
  <mergeCells count="7">
    <mergeCell ref="J1:O1"/>
    <mergeCell ref="A28:E28"/>
    <mergeCell ref="A1:E1"/>
    <mergeCell ref="A2:E2"/>
    <mergeCell ref="A3:E3"/>
    <mergeCell ref="A5:E5"/>
    <mergeCell ref="A6:E6"/>
  </mergeCells>
  <phoneticPr fontId="26" type="noConversion"/>
  <printOptions horizontalCentered="1"/>
  <pageMargins left="0.56999999999999995" right="0.56999999999999995" top="0.42" bottom="0.54" header="0.26" footer="0.17"/>
  <pageSetup orientation="portrait" r:id="rId1"/>
  <headerFooter alignWithMargins="0">
    <oddHeader>&amp;R&amp;10TO8 Annual Update (Revised)
Attachment 2
&amp;9WP‐Schedule 7-2011 Plant Study&amp;10
Page &amp;P of &amp;N</oddHeader>
    <oddFooter>&amp;C&amp;A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507" r:id="rId4" name="Drop Down 3">
              <controlPr defaultSize="0" autoLine="0" autoPict="0" macro="[0]!DropDown3_Change">
                <anchor moveWithCells="1">
                  <from>
                    <xdr:col>6</xdr:col>
                    <xdr:colOff>1181100</xdr:colOff>
                    <xdr:row>0</xdr:row>
                    <xdr:rowOff>0</xdr:rowOff>
                  </from>
                  <to>
                    <xdr:col>7</xdr:col>
                    <xdr:colOff>304800</xdr:colOff>
                    <xdr:row>0</xdr:row>
                    <xdr:rowOff>200025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565"/>
  <sheetViews>
    <sheetView zoomScaleNormal="100" zoomScaleSheetLayoutView="100" workbookViewId="0">
      <selection activeCell="D17" sqref="D17"/>
    </sheetView>
  </sheetViews>
  <sheetFormatPr defaultRowHeight="15" x14ac:dyDescent="0.25"/>
  <cols>
    <col min="2" max="2" width="28.5703125" customWidth="1"/>
    <col min="3" max="5" width="17.85546875" bestFit="1" customWidth="1"/>
    <col min="6" max="8" width="11.5703125" bestFit="1" customWidth="1"/>
    <col min="9" max="9" width="10.7109375" bestFit="1" customWidth="1"/>
    <col min="10" max="11" width="11.5703125" bestFit="1" customWidth="1"/>
    <col min="12" max="12" width="17.85546875" bestFit="1" customWidth="1"/>
    <col min="13" max="13" width="10.5703125" customWidth="1"/>
    <col min="14" max="14" width="10" customWidth="1"/>
    <col min="15" max="15" width="13.5703125" style="672" customWidth="1"/>
  </cols>
  <sheetData>
    <row r="1" spans="1:15" ht="15.75" x14ac:dyDescent="0.25">
      <c r="A1" s="289" t="s">
        <v>73</v>
      </c>
      <c r="B1" s="289"/>
      <c r="C1" s="290"/>
      <c r="D1" s="290"/>
      <c r="E1" s="291"/>
      <c r="F1" s="292"/>
      <c r="G1" s="293"/>
      <c r="H1" s="293"/>
      <c r="I1" s="294"/>
      <c r="J1" s="294"/>
      <c r="K1" s="295"/>
      <c r="L1" s="295"/>
      <c r="M1" s="291"/>
      <c r="N1" s="296"/>
      <c r="O1" s="666"/>
    </row>
    <row r="2" spans="1:15" ht="15.75" x14ac:dyDescent="0.25">
      <c r="A2" s="289" t="s">
        <v>74</v>
      </c>
      <c r="B2" s="289"/>
      <c r="C2" s="290"/>
      <c r="D2" s="290"/>
      <c r="E2" s="291"/>
      <c r="F2" s="292"/>
      <c r="G2" s="293"/>
      <c r="H2" s="293"/>
      <c r="I2" s="294"/>
      <c r="J2" s="294"/>
      <c r="K2" s="295"/>
      <c r="L2" s="295"/>
      <c r="M2" s="291"/>
      <c r="N2" s="296"/>
      <c r="O2" s="666"/>
    </row>
    <row r="3" spans="1:15" ht="15.75" x14ac:dyDescent="0.25">
      <c r="A3" s="298" t="s">
        <v>1775</v>
      </c>
      <c r="B3" s="298"/>
      <c r="C3" s="290"/>
      <c r="D3" s="290"/>
      <c r="E3" s="291"/>
      <c r="F3" s="293"/>
      <c r="G3" s="292"/>
      <c r="H3" s="293"/>
      <c r="I3" s="294"/>
      <c r="J3" s="294"/>
      <c r="K3" s="295"/>
      <c r="L3" s="295"/>
      <c r="M3" s="291"/>
      <c r="N3" s="296"/>
      <c r="O3" s="666"/>
    </row>
    <row r="4" spans="1:15" x14ac:dyDescent="0.25">
      <c r="A4" s="177"/>
      <c r="B4" s="177"/>
      <c r="C4" s="177"/>
      <c r="D4" s="177"/>
      <c r="E4" s="177"/>
      <c r="F4" s="299"/>
      <c r="G4" s="300"/>
      <c r="H4" s="300"/>
      <c r="I4" s="299"/>
      <c r="J4" s="299"/>
      <c r="K4" s="299"/>
      <c r="L4" s="299"/>
      <c r="M4" s="301"/>
      <c r="N4" s="302"/>
      <c r="O4" s="667"/>
    </row>
    <row r="5" spans="1:15" x14ac:dyDescent="0.25">
      <c r="A5" s="177"/>
      <c r="B5" s="177"/>
      <c r="C5" s="177"/>
      <c r="D5" s="177"/>
      <c r="E5" s="177"/>
      <c r="F5" s="299"/>
      <c r="G5" s="300"/>
      <c r="H5" s="300"/>
      <c r="I5" s="299"/>
      <c r="J5" s="299"/>
      <c r="K5" s="299"/>
      <c r="L5" s="299"/>
      <c r="M5" s="304">
        <v>2011</v>
      </c>
      <c r="N5" s="302"/>
      <c r="O5" s="667">
        <v>2011</v>
      </c>
    </row>
    <row r="6" spans="1:15" x14ac:dyDescent="0.25">
      <c r="A6" s="177" t="s">
        <v>75</v>
      </c>
      <c r="B6" s="177"/>
      <c r="C6" s="305" t="s">
        <v>1516</v>
      </c>
      <c r="D6" s="305"/>
      <c r="E6" s="305"/>
      <c r="F6" s="306"/>
      <c r="G6" s="306"/>
      <c r="H6" s="306"/>
      <c r="I6" s="306"/>
      <c r="J6" s="306"/>
      <c r="K6" s="306"/>
      <c r="L6" s="299"/>
      <c r="M6" s="303" t="s">
        <v>1514</v>
      </c>
      <c r="N6" s="307" t="s">
        <v>76</v>
      </c>
      <c r="O6" s="667" t="s">
        <v>1518</v>
      </c>
    </row>
    <row r="7" spans="1:15" x14ac:dyDescent="0.25">
      <c r="A7" s="305" t="s">
        <v>77</v>
      </c>
      <c r="B7" s="305"/>
      <c r="C7" s="308" t="s">
        <v>1051</v>
      </c>
      <c r="D7" s="308" t="s">
        <v>1036</v>
      </c>
      <c r="E7" s="308" t="s">
        <v>1037</v>
      </c>
      <c r="F7" s="309" t="s">
        <v>1521</v>
      </c>
      <c r="G7" s="309" t="s">
        <v>1522</v>
      </c>
      <c r="H7" s="309" t="s">
        <v>1523</v>
      </c>
      <c r="I7" s="309" t="s">
        <v>1524</v>
      </c>
      <c r="J7" s="309" t="s">
        <v>1525</v>
      </c>
      <c r="K7" s="309" t="s">
        <v>1526</v>
      </c>
      <c r="L7" s="309" t="s">
        <v>1462</v>
      </c>
      <c r="M7" s="303" t="s">
        <v>1519</v>
      </c>
      <c r="N7" s="307" t="s">
        <v>78</v>
      </c>
      <c r="O7" s="667" t="s">
        <v>79</v>
      </c>
    </row>
    <row r="8" spans="1:15" x14ac:dyDescent="0.25">
      <c r="A8" s="177"/>
      <c r="B8" s="177"/>
      <c r="C8" s="177"/>
      <c r="D8" s="177"/>
      <c r="E8" s="177"/>
      <c r="F8" s="299"/>
      <c r="G8" s="299"/>
      <c r="H8" s="299"/>
      <c r="I8" s="299"/>
      <c r="J8" s="299"/>
      <c r="K8" s="299"/>
      <c r="L8" s="299"/>
      <c r="M8" s="301"/>
      <c r="N8" s="302"/>
      <c r="O8" s="665"/>
    </row>
    <row r="9" spans="1:15" x14ac:dyDescent="0.25">
      <c r="A9" s="638" t="s">
        <v>80</v>
      </c>
      <c r="B9" s="342"/>
      <c r="C9" s="177"/>
      <c r="D9" s="177"/>
      <c r="E9" s="177"/>
      <c r="F9" s="299"/>
      <c r="G9" s="299"/>
      <c r="H9" s="299"/>
      <c r="I9" s="299"/>
      <c r="J9" s="299"/>
      <c r="K9" s="299"/>
      <c r="L9" s="299"/>
      <c r="M9" s="310"/>
      <c r="N9" s="302"/>
      <c r="O9" s="665"/>
    </row>
    <row r="10" spans="1:15" x14ac:dyDescent="0.25">
      <c r="A10" s="177"/>
      <c r="B10" s="177"/>
      <c r="C10" s="177"/>
      <c r="D10" s="177"/>
      <c r="E10" s="177"/>
      <c r="F10" s="299"/>
      <c r="G10" s="299"/>
      <c r="H10" s="299"/>
      <c r="I10" s="299"/>
      <c r="J10" s="299"/>
      <c r="K10" s="299"/>
      <c r="L10" s="299"/>
      <c r="M10" s="310"/>
      <c r="N10" s="302"/>
      <c r="O10" s="665"/>
    </row>
    <row r="11" spans="1:15" x14ac:dyDescent="0.25">
      <c r="A11" s="268">
        <v>4031</v>
      </c>
      <c r="B11" s="177" t="s">
        <v>1778</v>
      </c>
      <c r="C11" s="311">
        <v>0</v>
      </c>
      <c r="D11" s="311">
        <v>95840.85</v>
      </c>
      <c r="E11" s="311">
        <v>0</v>
      </c>
      <c r="F11" s="299">
        <v>27220052.609999999</v>
      </c>
      <c r="G11" s="299">
        <v>0</v>
      </c>
      <c r="H11" s="299">
        <v>14611107.800000001</v>
      </c>
      <c r="I11" s="299">
        <v>0</v>
      </c>
      <c r="J11" s="299">
        <v>0</v>
      </c>
      <c r="K11" s="299">
        <v>136840.9</v>
      </c>
      <c r="L11" s="299">
        <v>42063842.160000004</v>
      </c>
      <c r="M11" s="628">
        <v>336.17750000000001</v>
      </c>
      <c r="N11" s="302">
        <v>125124</v>
      </c>
      <c r="O11" s="673">
        <v>2</v>
      </c>
    </row>
    <row r="12" spans="1:15" x14ac:dyDescent="0.25">
      <c r="A12" s="268">
        <v>4034</v>
      </c>
      <c r="B12" s="177" t="s">
        <v>1778</v>
      </c>
      <c r="C12" s="311">
        <v>0</v>
      </c>
      <c r="D12" s="311">
        <v>540.83000000000004</v>
      </c>
      <c r="E12" s="311">
        <v>0</v>
      </c>
      <c r="F12" s="299">
        <v>7698607.4800000004</v>
      </c>
      <c r="G12" s="299">
        <v>0</v>
      </c>
      <c r="H12" s="299">
        <v>5631427.2300000004</v>
      </c>
      <c r="I12" s="299">
        <v>0</v>
      </c>
      <c r="J12" s="299">
        <v>0</v>
      </c>
      <c r="K12" s="299">
        <v>668870.63</v>
      </c>
      <c r="L12" s="317">
        <v>13999446.170000002</v>
      </c>
      <c r="M12" s="628">
        <v>289.72500000000002</v>
      </c>
      <c r="N12" s="302">
        <v>48320</v>
      </c>
      <c r="O12" s="673">
        <v>1</v>
      </c>
    </row>
    <row r="13" spans="1:15" x14ac:dyDescent="0.25">
      <c r="A13" s="177"/>
      <c r="B13" s="183"/>
      <c r="C13" s="311"/>
      <c r="D13" s="311"/>
      <c r="E13" s="311"/>
      <c r="F13" s="299"/>
      <c r="G13" s="299"/>
      <c r="H13" s="299"/>
      <c r="I13" s="299"/>
      <c r="J13" s="299"/>
      <c r="K13" s="299"/>
      <c r="L13" s="299"/>
      <c r="M13" s="629"/>
      <c r="N13" s="302"/>
      <c r="O13" s="665"/>
    </row>
    <row r="14" spans="1:15" x14ac:dyDescent="0.25">
      <c r="A14" s="635" t="s">
        <v>1531</v>
      </c>
      <c r="B14" s="635"/>
      <c r="C14" s="636">
        <f t="shared" ref="C14:L14" si="0">ROUND(SUM(C11:C12),0)</f>
        <v>0</v>
      </c>
      <c r="D14" s="636">
        <f t="shared" si="0"/>
        <v>96382</v>
      </c>
      <c r="E14" s="636">
        <f t="shared" si="0"/>
        <v>0</v>
      </c>
      <c r="F14" s="637">
        <f t="shared" si="0"/>
        <v>34918660</v>
      </c>
      <c r="G14" s="637">
        <f t="shared" si="0"/>
        <v>0</v>
      </c>
      <c r="H14" s="637">
        <f t="shared" si="0"/>
        <v>20242535</v>
      </c>
      <c r="I14" s="637">
        <f t="shared" si="0"/>
        <v>0</v>
      </c>
      <c r="J14" s="637">
        <f t="shared" si="0"/>
        <v>0</v>
      </c>
      <c r="K14" s="637">
        <f t="shared" si="0"/>
        <v>805712</v>
      </c>
      <c r="L14" s="637">
        <f t="shared" si="0"/>
        <v>56063288</v>
      </c>
      <c r="M14" s="629">
        <f>SUM(M11:M12)</f>
        <v>625.90250000000003</v>
      </c>
      <c r="N14" s="302">
        <f>ROUND(L14/M14,0)</f>
        <v>89572</v>
      </c>
      <c r="O14" s="665">
        <f>SUM(O11:O12)</f>
        <v>3</v>
      </c>
    </row>
    <row r="15" spans="1:15" x14ac:dyDescent="0.25">
      <c r="A15" s="177"/>
      <c r="B15" s="183"/>
      <c r="C15" s="311"/>
      <c r="D15" s="311"/>
      <c r="E15" s="311"/>
      <c r="F15" s="299"/>
      <c r="G15" s="299"/>
      <c r="H15" s="299"/>
      <c r="I15" s="299"/>
      <c r="J15" s="299"/>
      <c r="K15" s="299"/>
      <c r="L15" s="299"/>
      <c r="M15" s="629"/>
      <c r="N15" s="302"/>
      <c r="O15" s="665"/>
    </row>
    <row r="16" spans="1:15" x14ac:dyDescent="0.25">
      <c r="A16" s="177"/>
      <c r="B16" s="183"/>
      <c r="C16" s="316"/>
      <c r="D16" s="311"/>
      <c r="E16" s="311"/>
      <c r="F16" s="299"/>
      <c r="G16" s="299"/>
      <c r="H16" s="299"/>
      <c r="I16" s="299"/>
      <c r="J16" s="299"/>
      <c r="K16" s="299"/>
      <c r="L16" s="299"/>
      <c r="M16" s="629"/>
      <c r="N16" s="302"/>
      <c r="O16" s="665"/>
    </row>
    <row r="17" spans="1:15" x14ac:dyDescent="0.25">
      <c r="A17" s="208" t="s">
        <v>81</v>
      </c>
      <c r="B17" s="271"/>
      <c r="C17" s="311"/>
      <c r="D17" s="311"/>
      <c r="E17" s="311"/>
      <c r="F17" s="299"/>
      <c r="G17" s="299"/>
      <c r="H17" s="299"/>
      <c r="I17" s="299"/>
      <c r="J17" s="299"/>
      <c r="K17" s="299"/>
      <c r="L17" s="299"/>
      <c r="M17" s="629"/>
      <c r="N17" s="302"/>
      <c r="O17" s="665"/>
    </row>
    <row r="18" spans="1:15" x14ac:dyDescent="0.25">
      <c r="A18" s="177"/>
      <c r="B18" s="177"/>
      <c r="C18" s="311"/>
      <c r="D18" s="311"/>
      <c r="E18" s="311"/>
      <c r="F18" s="299"/>
      <c r="G18" s="299"/>
      <c r="H18" s="299"/>
      <c r="I18" s="299"/>
      <c r="J18" s="299"/>
      <c r="K18" s="299"/>
      <c r="L18" s="299"/>
      <c r="M18" s="629"/>
      <c r="N18" s="302"/>
      <c r="O18" s="665"/>
    </row>
    <row r="19" spans="1:15" x14ac:dyDescent="0.25">
      <c r="A19" s="268">
        <v>4026</v>
      </c>
      <c r="B19" s="177" t="s">
        <v>1779</v>
      </c>
      <c r="C19" s="311">
        <v>2910822.12</v>
      </c>
      <c r="D19" s="311">
        <v>0</v>
      </c>
      <c r="E19" s="311">
        <v>27104.880000000001</v>
      </c>
      <c r="F19" s="299">
        <v>19299340.940000001</v>
      </c>
      <c r="G19" s="299">
        <v>85358.64</v>
      </c>
      <c r="H19" s="299">
        <v>22941424.84</v>
      </c>
      <c r="I19" s="299">
        <v>0</v>
      </c>
      <c r="J19" s="299">
        <v>0</v>
      </c>
      <c r="K19" s="299">
        <v>795535.38</v>
      </c>
      <c r="L19" s="299">
        <v>46059586.800000004</v>
      </c>
      <c r="M19" s="628">
        <v>225.49450000000002</v>
      </c>
      <c r="N19" s="302">
        <v>204260</v>
      </c>
      <c r="O19" s="673">
        <v>2</v>
      </c>
    </row>
    <row r="20" spans="1:15" x14ac:dyDescent="0.25">
      <c r="A20" s="268">
        <v>4123</v>
      </c>
      <c r="B20" s="177" t="s">
        <v>1780</v>
      </c>
      <c r="C20" s="311">
        <v>1734921.02</v>
      </c>
      <c r="D20" s="311">
        <v>0</v>
      </c>
      <c r="E20" s="311">
        <v>16632.95</v>
      </c>
      <c r="F20" s="299">
        <v>7757345.8100000005</v>
      </c>
      <c r="G20" s="299">
        <v>0</v>
      </c>
      <c r="H20" s="299">
        <v>7143431.4800000004</v>
      </c>
      <c r="I20" s="299">
        <v>0</v>
      </c>
      <c r="J20" s="299">
        <v>0</v>
      </c>
      <c r="K20" s="299">
        <v>1890.5900000000001</v>
      </c>
      <c r="L20" s="299">
        <v>16654221.850000001</v>
      </c>
      <c r="M20" s="628">
        <v>94.386800000000008</v>
      </c>
      <c r="N20" s="302">
        <v>176447</v>
      </c>
      <c r="O20" s="673">
        <v>2</v>
      </c>
    </row>
    <row r="21" spans="1:15" x14ac:dyDescent="0.25">
      <c r="A21" s="268">
        <v>4130</v>
      </c>
      <c r="B21" s="177" t="s">
        <v>1781</v>
      </c>
      <c r="C21" s="311">
        <v>157989.61000000002</v>
      </c>
      <c r="D21" s="311">
        <v>0</v>
      </c>
      <c r="E21" s="311">
        <v>0</v>
      </c>
      <c r="F21" s="299">
        <v>420632.4</v>
      </c>
      <c r="G21" s="299">
        <v>0</v>
      </c>
      <c r="H21" s="299">
        <v>517455.16000000003</v>
      </c>
      <c r="I21" s="299">
        <v>0</v>
      </c>
      <c r="J21" s="299">
        <v>0</v>
      </c>
      <c r="K21" s="299">
        <v>19050.7</v>
      </c>
      <c r="L21" s="299">
        <v>1115127.8699999999</v>
      </c>
      <c r="M21" s="628">
        <v>9.8529999999999998</v>
      </c>
      <c r="N21" s="302">
        <v>113176</v>
      </c>
      <c r="O21" s="673">
        <v>1</v>
      </c>
    </row>
    <row r="22" spans="1:15" x14ac:dyDescent="0.25">
      <c r="A22" s="268">
        <v>4136</v>
      </c>
      <c r="B22" s="177" t="s">
        <v>1782</v>
      </c>
      <c r="C22" s="311">
        <v>1330373</v>
      </c>
      <c r="D22" s="311">
        <v>0</v>
      </c>
      <c r="E22" s="311">
        <v>0</v>
      </c>
      <c r="F22" s="299">
        <v>12189960.310000001</v>
      </c>
      <c r="G22" s="299">
        <v>0</v>
      </c>
      <c r="H22" s="299">
        <v>10420731.939999999</v>
      </c>
      <c r="I22" s="299">
        <v>0</v>
      </c>
      <c r="J22" s="299">
        <v>0</v>
      </c>
      <c r="K22" s="299">
        <v>117747.17</v>
      </c>
      <c r="L22" s="299">
        <v>24058812.420000002</v>
      </c>
      <c r="M22" s="628">
        <v>150.6686</v>
      </c>
      <c r="N22" s="302">
        <v>159680</v>
      </c>
      <c r="O22" s="673">
        <v>1</v>
      </c>
    </row>
    <row r="23" spans="1:15" x14ac:dyDescent="0.25">
      <c r="A23" s="268">
        <v>4137</v>
      </c>
      <c r="B23" s="177" t="s">
        <v>1782</v>
      </c>
      <c r="C23" s="311">
        <v>16589.080000000002</v>
      </c>
      <c r="D23" s="311">
        <v>0</v>
      </c>
      <c r="E23" s="311">
        <v>0</v>
      </c>
      <c r="F23" s="299">
        <v>2027936.36</v>
      </c>
      <c r="G23" s="299">
        <v>0</v>
      </c>
      <c r="H23" s="299">
        <v>1784137.46</v>
      </c>
      <c r="I23" s="299">
        <v>0</v>
      </c>
      <c r="J23" s="299">
        <v>0</v>
      </c>
      <c r="K23" s="299">
        <v>20088.12</v>
      </c>
      <c r="L23" s="299">
        <v>3848751.0200000005</v>
      </c>
      <c r="M23" s="628">
        <v>26.509</v>
      </c>
      <c r="N23" s="302">
        <v>145187</v>
      </c>
      <c r="O23" s="673">
        <v>1</v>
      </c>
    </row>
    <row r="24" spans="1:15" x14ac:dyDescent="0.25">
      <c r="A24" s="268">
        <v>4138</v>
      </c>
      <c r="B24" s="177" t="s">
        <v>1783</v>
      </c>
      <c r="C24" s="311">
        <v>9605387.3200000003</v>
      </c>
      <c r="D24" s="311">
        <v>0</v>
      </c>
      <c r="E24" s="311">
        <v>98.19</v>
      </c>
      <c r="F24" s="299">
        <v>26351975.41</v>
      </c>
      <c r="G24" s="299">
        <v>118239.71</v>
      </c>
      <c r="H24" s="299">
        <v>18451819.539999999</v>
      </c>
      <c r="I24" s="299">
        <v>0</v>
      </c>
      <c r="J24" s="299">
        <v>0</v>
      </c>
      <c r="K24" s="299">
        <v>632859.44000000006</v>
      </c>
      <c r="L24" s="299">
        <v>55160379.609999999</v>
      </c>
      <c r="M24" s="628">
        <v>96.506100000000004</v>
      </c>
      <c r="N24" s="302">
        <v>571574</v>
      </c>
      <c r="O24" s="673">
        <v>3</v>
      </c>
    </row>
    <row r="25" spans="1:15" x14ac:dyDescent="0.25">
      <c r="A25" s="268">
        <v>4140</v>
      </c>
      <c r="B25" s="177" t="s">
        <v>1784</v>
      </c>
      <c r="C25" s="311">
        <v>278111.81</v>
      </c>
      <c r="D25" s="311">
        <v>0</v>
      </c>
      <c r="E25" s="311">
        <v>0</v>
      </c>
      <c r="F25" s="299">
        <v>12178545.18</v>
      </c>
      <c r="G25" s="299">
        <v>1375948.02</v>
      </c>
      <c r="H25" s="299">
        <v>9649509.5199999996</v>
      </c>
      <c r="I25" s="299">
        <v>0</v>
      </c>
      <c r="J25" s="299">
        <v>0</v>
      </c>
      <c r="K25" s="299">
        <v>329332.83</v>
      </c>
      <c r="L25" s="299">
        <v>23811447.359999999</v>
      </c>
      <c r="M25" s="628">
        <v>165.9571</v>
      </c>
      <c r="N25" s="302">
        <v>143480</v>
      </c>
      <c r="O25" s="673">
        <v>1</v>
      </c>
    </row>
    <row r="26" spans="1:15" x14ac:dyDescent="0.25">
      <c r="A26" s="268">
        <v>4141</v>
      </c>
      <c r="B26" s="177" t="s">
        <v>1785</v>
      </c>
      <c r="C26" s="311">
        <v>76199.12</v>
      </c>
      <c r="D26" s="311">
        <v>0</v>
      </c>
      <c r="E26" s="311">
        <v>0</v>
      </c>
      <c r="F26" s="299">
        <v>1155537.99</v>
      </c>
      <c r="G26" s="299">
        <v>0</v>
      </c>
      <c r="H26" s="299">
        <v>1251359.25</v>
      </c>
      <c r="I26" s="299">
        <v>0</v>
      </c>
      <c r="J26" s="299">
        <v>0</v>
      </c>
      <c r="K26" s="299">
        <v>55916.25</v>
      </c>
      <c r="L26" s="299">
        <v>2539012.61</v>
      </c>
      <c r="M26" s="628">
        <v>59.3947</v>
      </c>
      <c r="N26" s="302">
        <v>42748</v>
      </c>
      <c r="O26" s="673">
        <v>1</v>
      </c>
    </row>
    <row r="27" spans="1:15" x14ac:dyDescent="0.25">
      <c r="A27" s="268">
        <v>4143</v>
      </c>
      <c r="B27" s="177" t="s">
        <v>1327</v>
      </c>
      <c r="C27" s="311">
        <v>6166.88</v>
      </c>
      <c r="D27" s="311">
        <v>0</v>
      </c>
      <c r="E27" s="311">
        <v>0</v>
      </c>
      <c r="F27" s="299">
        <v>2588095.0300000003</v>
      </c>
      <c r="G27" s="299">
        <v>0</v>
      </c>
      <c r="H27" s="299">
        <v>1880705.48</v>
      </c>
      <c r="I27" s="299">
        <v>0</v>
      </c>
      <c r="J27" s="299">
        <v>0</v>
      </c>
      <c r="K27" s="299">
        <v>145064.49</v>
      </c>
      <c r="L27" s="299">
        <v>4620031.8800000008</v>
      </c>
      <c r="M27" s="628">
        <v>29.645799999999998</v>
      </c>
      <c r="N27" s="302">
        <v>155841</v>
      </c>
      <c r="O27" s="673">
        <v>1</v>
      </c>
    </row>
    <row r="28" spans="1:15" x14ac:dyDescent="0.25">
      <c r="A28" s="268">
        <v>4148</v>
      </c>
      <c r="B28" s="177" t="s">
        <v>1786</v>
      </c>
      <c r="C28" s="311">
        <v>1696736.12</v>
      </c>
      <c r="D28" s="311">
        <v>0</v>
      </c>
      <c r="E28" s="311">
        <v>0</v>
      </c>
      <c r="F28" s="299">
        <v>18384825.73</v>
      </c>
      <c r="G28" s="299">
        <v>0</v>
      </c>
      <c r="H28" s="299">
        <v>7820474.9199999999</v>
      </c>
      <c r="I28" s="299">
        <v>0</v>
      </c>
      <c r="J28" s="299">
        <v>0</v>
      </c>
      <c r="K28" s="299">
        <v>252983.4</v>
      </c>
      <c r="L28" s="299">
        <v>28155020.170000002</v>
      </c>
      <c r="M28" s="628">
        <v>28.751200000000001</v>
      </c>
      <c r="N28" s="302">
        <v>979264</v>
      </c>
      <c r="O28" s="673">
        <v>2</v>
      </c>
    </row>
    <row r="29" spans="1:15" x14ac:dyDescent="0.25">
      <c r="A29" s="268">
        <v>4154</v>
      </c>
      <c r="B29" s="177" t="s">
        <v>1787</v>
      </c>
      <c r="C29" s="311">
        <v>751548.67</v>
      </c>
      <c r="D29" s="311">
        <v>0</v>
      </c>
      <c r="E29" s="311">
        <v>0</v>
      </c>
      <c r="F29" s="299">
        <v>1157576.74</v>
      </c>
      <c r="G29" s="299">
        <v>0</v>
      </c>
      <c r="H29" s="299">
        <v>759625.13</v>
      </c>
      <c r="I29" s="299">
        <v>0</v>
      </c>
      <c r="J29" s="299">
        <v>0</v>
      </c>
      <c r="K29" s="299">
        <v>0</v>
      </c>
      <c r="L29" s="299">
        <v>2668750.54</v>
      </c>
      <c r="M29" s="628">
        <v>7.5735000000000001</v>
      </c>
      <c r="N29" s="302">
        <v>352380</v>
      </c>
      <c r="O29" s="673">
        <v>1</v>
      </c>
    </row>
    <row r="30" spans="1:15" x14ac:dyDescent="0.25">
      <c r="A30" s="268">
        <v>4155</v>
      </c>
      <c r="B30" s="177" t="s">
        <v>1788</v>
      </c>
      <c r="C30" s="311">
        <v>2956983.2199999997</v>
      </c>
      <c r="D30" s="311">
        <v>0</v>
      </c>
      <c r="E30" s="311">
        <v>0</v>
      </c>
      <c r="F30" s="299">
        <v>7540671.2400000002</v>
      </c>
      <c r="G30" s="299">
        <v>0</v>
      </c>
      <c r="H30" s="299">
        <v>4581493.1100000003</v>
      </c>
      <c r="I30" s="299">
        <v>0</v>
      </c>
      <c r="J30" s="299">
        <v>0</v>
      </c>
      <c r="K30" s="299">
        <v>187772.25</v>
      </c>
      <c r="L30" s="299">
        <v>15266919.82</v>
      </c>
      <c r="M30" s="628">
        <v>52.616400000000006</v>
      </c>
      <c r="N30" s="302">
        <v>290155</v>
      </c>
      <c r="O30" s="673">
        <v>1</v>
      </c>
    </row>
    <row r="31" spans="1:15" x14ac:dyDescent="0.25">
      <c r="A31" s="268">
        <v>4158</v>
      </c>
      <c r="B31" s="177" t="s">
        <v>519</v>
      </c>
      <c r="C31" s="311">
        <v>498592.85000000003</v>
      </c>
      <c r="D31" s="311">
        <v>0</v>
      </c>
      <c r="E31" s="311">
        <v>0</v>
      </c>
      <c r="F31" s="299">
        <v>0</v>
      </c>
      <c r="G31" s="299">
        <v>0</v>
      </c>
      <c r="H31" s="299">
        <v>0</v>
      </c>
      <c r="I31" s="299">
        <v>0</v>
      </c>
      <c r="J31" s="299">
        <v>0</v>
      </c>
      <c r="K31" s="299">
        <v>0</v>
      </c>
      <c r="L31" s="299">
        <v>498592.85000000003</v>
      </c>
      <c r="M31" s="628">
        <v>0</v>
      </c>
      <c r="N31" s="302">
        <v>0</v>
      </c>
      <c r="O31" s="673">
        <v>0</v>
      </c>
    </row>
    <row r="32" spans="1:15" x14ac:dyDescent="0.25">
      <c r="A32" s="268">
        <v>4185</v>
      </c>
      <c r="B32" s="177" t="s">
        <v>1789</v>
      </c>
      <c r="C32" s="311">
        <v>12546475.5</v>
      </c>
      <c r="D32" s="311">
        <v>0</v>
      </c>
      <c r="E32" s="311">
        <v>0</v>
      </c>
      <c r="F32" s="299">
        <v>28772328.350000001</v>
      </c>
      <c r="G32" s="299">
        <v>804.68000000000006</v>
      </c>
      <c r="H32" s="299">
        <v>21381648.710000001</v>
      </c>
      <c r="I32" s="299">
        <v>0</v>
      </c>
      <c r="J32" s="299">
        <v>1151660.45</v>
      </c>
      <c r="K32" s="299">
        <v>453081.41000000003</v>
      </c>
      <c r="L32" s="299">
        <v>64305999.100000001</v>
      </c>
      <c r="M32" s="628">
        <v>126.45459999999999</v>
      </c>
      <c r="N32" s="302">
        <v>508530</v>
      </c>
      <c r="O32" s="673">
        <v>1</v>
      </c>
    </row>
    <row r="33" spans="1:15" x14ac:dyDescent="0.25">
      <c r="A33" s="268">
        <v>4186</v>
      </c>
      <c r="B33" s="177" t="s">
        <v>1789</v>
      </c>
      <c r="C33" s="311">
        <v>1194334.76</v>
      </c>
      <c r="D33" s="311">
        <v>0</v>
      </c>
      <c r="E33" s="311">
        <v>0</v>
      </c>
      <c r="F33" s="299">
        <v>17297410.52</v>
      </c>
      <c r="G33" s="299">
        <v>0</v>
      </c>
      <c r="H33" s="299">
        <v>25189674.899999999</v>
      </c>
      <c r="I33" s="299">
        <v>0</v>
      </c>
      <c r="J33" s="299">
        <v>0</v>
      </c>
      <c r="K33" s="299">
        <v>147244.76</v>
      </c>
      <c r="L33" s="299">
        <v>43828664.939999998</v>
      </c>
      <c r="M33" s="628">
        <v>112.0458</v>
      </c>
      <c r="N33" s="302">
        <v>391167</v>
      </c>
      <c r="O33" s="673">
        <v>1</v>
      </c>
    </row>
    <row r="34" spans="1:15" x14ac:dyDescent="0.25">
      <c r="A34" s="268">
        <v>4187</v>
      </c>
      <c r="B34" s="177" t="s">
        <v>1790</v>
      </c>
      <c r="C34" s="311">
        <v>10444073.32</v>
      </c>
      <c r="D34" s="311">
        <v>0</v>
      </c>
      <c r="E34" s="311">
        <v>0</v>
      </c>
      <c r="F34" s="299">
        <v>21195906.16</v>
      </c>
      <c r="G34" s="299">
        <v>0</v>
      </c>
      <c r="H34" s="299">
        <v>11949086.67</v>
      </c>
      <c r="I34" s="299">
        <v>0</v>
      </c>
      <c r="J34" s="299">
        <v>0</v>
      </c>
      <c r="K34" s="299">
        <v>4790335.8499999996</v>
      </c>
      <c r="L34" s="299">
        <v>48379402</v>
      </c>
      <c r="M34" s="628">
        <v>41.601199999999999</v>
      </c>
      <c r="N34" s="302">
        <v>1162933</v>
      </c>
      <c r="O34" s="673">
        <v>1</v>
      </c>
    </row>
    <row r="35" spans="1:15" x14ac:dyDescent="0.25">
      <c r="A35" s="268">
        <v>4188</v>
      </c>
      <c r="B35" s="177" t="s">
        <v>1791</v>
      </c>
      <c r="C35" s="311">
        <v>2858639.23</v>
      </c>
      <c r="D35" s="311">
        <v>8043.41</v>
      </c>
      <c r="E35" s="311">
        <v>0</v>
      </c>
      <c r="F35" s="299">
        <v>22909118.48</v>
      </c>
      <c r="G35" s="299">
        <v>515652.76</v>
      </c>
      <c r="H35" s="299">
        <v>14833343.109999999</v>
      </c>
      <c r="I35" s="299">
        <v>0</v>
      </c>
      <c r="J35" s="299">
        <v>0</v>
      </c>
      <c r="K35" s="299">
        <v>2448260.13</v>
      </c>
      <c r="L35" s="317">
        <v>43573057.120000005</v>
      </c>
      <c r="M35" s="628">
        <v>40.520900000000005</v>
      </c>
      <c r="N35" s="302">
        <v>1075323</v>
      </c>
      <c r="O35" s="673">
        <v>1</v>
      </c>
    </row>
    <row r="36" spans="1:15" x14ac:dyDescent="0.25">
      <c r="A36" s="177">
        <v>4191</v>
      </c>
      <c r="B36" s="177" t="s">
        <v>834</v>
      </c>
      <c r="C36" s="311">
        <v>0</v>
      </c>
      <c r="D36" s="311">
        <v>0</v>
      </c>
      <c r="E36" s="311">
        <v>0</v>
      </c>
      <c r="F36" s="299">
        <v>3058.3</v>
      </c>
      <c r="G36" s="299">
        <v>12338.300000000001</v>
      </c>
      <c r="H36" s="299">
        <v>4980.0200000000004</v>
      </c>
      <c r="I36" s="299">
        <v>0</v>
      </c>
      <c r="J36" s="299">
        <v>0</v>
      </c>
      <c r="K36" s="299">
        <v>0</v>
      </c>
      <c r="L36" s="299">
        <v>20377</v>
      </c>
      <c r="M36" s="630">
        <v>0.92</v>
      </c>
      <c r="N36" s="302">
        <v>22149</v>
      </c>
      <c r="O36" s="653">
        <v>1</v>
      </c>
    </row>
    <row r="37" spans="1:15" x14ac:dyDescent="0.25">
      <c r="A37" s="337">
        <v>5069</v>
      </c>
      <c r="B37" s="177" t="s">
        <v>1792</v>
      </c>
      <c r="C37" s="311" t="s">
        <v>1776</v>
      </c>
      <c r="D37" s="311" t="s">
        <v>1776</v>
      </c>
      <c r="E37" s="311" t="s">
        <v>1776</v>
      </c>
      <c r="F37" s="299">
        <v>0</v>
      </c>
      <c r="G37" s="299">
        <v>123409.71</v>
      </c>
      <c r="H37" s="299">
        <v>53933.19</v>
      </c>
      <c r="I37" s="299">
        <v>0</v>
      </c>
      <c r="J37" s="299">
        <v>0</v>
      </c>
      <c r="K37" s="299">
        <v>0</v>
      </c>
      <c r="L37" s="299">
        <v>177343</v>
      </c>
      <c r="M37" s="629"/>
      <c r="N37" s="302"/>
      <c r="O37" s="665"/>
    </row>
    <row r="38" spans="1:15" x14ac:dyDescent="0.25">
      <c r="A38" s="337">
        <v>5070</v>
      </c>
      <c r="B38" s="177" t="s">
        <v>1793</v>
      </c>
      <c r="C38" s="311" t="s">
        <v>1776</v>
      </c>
      <c r="D38" s="311" t="s">
        <v>1776</v>
      </c>
      <c r="E38" s="311" t="s">
        <v>1776</v>
      </c>
      <c r="F38" s="299">
        <v>0</v>
      </c>
      <c r="G38" s="299">
        <v>5822.64</v>
      </c>
      <c r="H38" s="299">
        <v>2859.44</v>
      </c>
      <c r="I38" s="299">
        <v>0</v>
      </c>
      <c r="J38" s="299">
        <v>0</v>
      </c>
      <c r="K38" s="299">
        <v>0</v>
      </c>
      <c r="L38" s="299">
        <v>8682</v>
      </c>
      <c r="M38" s="629"/>
      <c r="N38" s="302"/>
      <c r="O38" s="665"/>
    </row>
    <row r="39" spans="1:15" x14ac:dyDescent="0.25">
      <c r="A39" s="268">
        <v>5080</v>
      </c>
      <c r="B39" s="177" t="s">
        <v>1794</v>
      </c>
      <c r="C39" s="311" t="s">
        <v>1776</v>
      </c>
      <c r="D39" s="311" t="s">
        <v>1776</v>
      </c>
      <c r="E39" s="311" t="s">
        <v>1776</v>
      </c>
      <c r="F39" s="299">
        <v>0</v>
      </c>
      <c r="G39" s="299">
        <v>0</v>
      </c>
      <c r="H39" s="299">
        <v>0</v>
      </c>
      <c r="I39" s="299">
        <v>0</v>
      </c>
      <c r="J39" s="299">
        <v>0</v>
      </c>
      <c r="K39" s="299">
        <v>2236589.73</v>
      </c>
      <c r="L39" s="317">
        <v>2236589.73</v>
      </c>
      <c r="M39" s="628"/>
      <c r="N39" s="302"/>
      <c r="O39" s="673"/>
    </row>
    <row r="40" spans="1:15" x14ac:dyDescent="0.25">
      <c r="A40" s="268">
        <v>5090</v>
      </c>
      <c r="B40" s="177" t="s">
        <v>1795</v>
      </c>
      <c r="C40" s="311" t="s">
        <v>1776</v>
      </c>
      <c r="D40" s="311" t="s">
        <v>1776</v>
      </c>
      <c r="E40" s="311" t="s">
        <v>1776</v>
      </c>
      <c r="F40" s="299">
        <v>0</v>
      </c>
      <c r="G40" s="299">
        <v>0</v>
      </c>
      <c r="H40" s="299">
        <v>0</v>
      </c>
      <c r="I40" s="299">
        <v>0</v>
      </c>
      <c r="J40" s="299">
        <v>0</v>
      </c>
      <c r="K40" s="299">
        <v>94491.680000000008</v>
      </c>
      <c r="L40" s="317">
        <v>94491.680000000008</v>
      </c>
      <c r="M40" s="628"/>
      <c r="N40" s="302"/>
      <c r="O40" s="673"/>
    </row>
    <row r="41" spans="1:15" x14ac:dyDescent="0.25">
      <c r="A41" s="268">
        <v>8958</v>
      </c>
      <c r="B41" s="177" t="s">
        <v>99</v>
      </c>
      <c r="C41" s="311" t="s">
        <v>1776</v>
      </c>
      <c r="D41" s="311" t="s">
        <v>1776</v>
      </c>
      <c r="E41" s="311" t="s">
        <v>1776</v>
      </c>
      <c r="F41" s="299">
        <v>2505376.39</v>
      </c>
      <c r="G41" s="299">
        <v>0</v>
      </c>
      <c r="H41" s="299">
        <v>359913.49</v>
      </c>
      <c r="I41" s="299">
        <v>0</v>
      </c>
      <c r="J41" s="299">
        <v>0</v>
      </c>
      <c r="K41" s="299">
        <v>0</v>
      </c>
      <c r="L41" s="317">
        <v>2865289.88</v>
      </c>
      <c r="M41" s="628"/>
      <c r="N41" s="302"/>
      <c r="O41" s="673"/>
    </row>
    <row r="42" spans="1:15" x14ac:dyDescent="0.25">
      <c r="A42" s="177"/>
      <c r="B42" s="183"/>
      <c r="C42" s="311"/>
      <c r="D42" s="319"/>
      <c r="E42" s="311"/>
      <c r="F42" s="299"/>
      <c r="G42" s="299"/>
      <c r="H42" s="317"/>
      <c r="I42" s="299"/>
      <c r="J42" s="299"/>
      <c r="K42" s="299"/>
      <c r="L42" s="299"/>
      <c r="M42" s="628"/>
      <c r="N42" s="302"/>
      <c r="O42" s="665"/>
    </row>
    <row r="43" spans="1:15" x14ac:dyDescent="0.25">
      <c r="A43" s="639" t="s">
        <v>1557</v>
      </c>
      <c r="B43" s="640"/>
      <c r="C43" s="636">
        <f t="shared" ref="C43:L43" si="1">ROUND(SUM(C19:C41),0)</f>
        <v>49063944</v>
      </c>
      <c r="D43" s="636">
        <f t="shared" si="1"/>
        <v>8043</v>
      </c>
      <c r="E43" s="636">
        <f t="shared" si="1"/>
        <v>43836</v>
      </c>
      <c r="F43" s="637">
        <f t="shared" si="1"/>
        <v>203735641</v>
      </c>
      <c r="G43" s="637">
        <f t="shared" si="1"/>
        <v>2237574</v>
      </c>
      <c r="H43" s="637">
        <f t="shared" si="1"/>
        <v>160977607</v>
      </c>
      <c r="I43" s="637">
        <f t="shared" si="1"/>
        <v>0</v>
      </c>
      <c r="J43" s="637">
        <f t="shared" si="1"/>
        <v>1151660</v>
      </c>
      <c r="K43" s="637">
        <f t="shared" si="1"/>
        <v>12728244</v>
      </c>
      <c r="L43" s="637">
        <f t="shared" si="1"/>
        <v>429946551</v>
      </c>
      <c r="M43" s="629">
        <f>ROUND(SUM(M19:M36),0)</f>
        <v>1269</v>
      </c>
      <c r="N43" s="320">
        <f>ROUND(SUM(N19:N36),0)</f>
        <v>6494294</v>
      </c>
      <c r="O43" s="665">
        <f>SUM(O19:O35)</f>
        <v>21</v>
      </c>
    </row>
    <row r="44" spans="1:15" x14ac:dyDescent="0.25">
      <c r="A44" s="177"/>
      <c r="B44" s="177"/>
      <c r="C44" s="311"/>
      <c r="D44" s="311"/>
      <c r="E44" s="311"/>
      <c r="F44" s="299"/>
      <c r="G44" s="299"/>
      <c r="H44" s="299"/>
      <c r="I44" s="299"/>
      <c r="J44" s="299"/>
      <c r="K44" s="299"/>
      <c r="L44" s="299"/>
      <c r="M44" s="629"/>
      <c r="N44" s="302"/>
      <c r="O44" s="665"/>
    </row>
    <row r="45" spans="1:15" x14ac:dyDescent="0.25">
      <c r="A45" s="638" t="s">
        <v>82</v>
      </c>
      <c r="B45" s="641"/>
      <c r="C45" s="311"/>
      <c r="D45" s="311"/>
      <c r="E45" s="311"/>
      <c r="F45" s="299"/>
      <c r="G45" s="299"/>
      <c r="H45" s="299"/>
      <c r="I45" s="299"/>
      <c r="J45" s="299"/>
      <c r="K45" s="299"/>
      <c r="L45" s="299"/>
      <c r="M45" s="629"/>
      <c r="N45" s="302"/>
      <c r="O45" s="665"/>
    </row>
    <row r="46" spans="1:15" x14ac:dyDescent="0.25">
      <c r="A46" s="177"/>
      <c r="B46" s="183"/>
      <c r="C46" s="311"/>
      <c r="D46" s="311"/>
      <c r="E46" s="311"/>
      <c r="F46" s="299"/>
      <c r="G46" s="299"/>
      <c r="H46" s="299"/>
      <c r="I46" s="299"/>
      <c r="J46" s="299"/>
      <c r="K46" s="299"/>
      <c r="L46" s="299"/>
      <c r="M46" s="629"/>
      <c r="N46" s="302"/>
      <c r="O46" s="665"/>
    </row>
    <row r="47" spans="1:15" x14ac:dyDescent="0.25">
      <c r="A47" s="268">
        <v>4045</v>
      </c>
      <c r="B47" s="177"/>
      <c r="C47" s="311">
        <v>179131.19</v>
      </c>
      <c r="D47" s="311">
        <v>0</v>
      </c>
      <c r="E47" s="311">
        <v>0</v>
      </c>
      <c r="F47" s="299">
        <v>701607.26</v>
      </c>
      <c r="G47" s="299">
        <v>0</v>
      </c>
      <c r="H47" s="299">
        <v>453191.93</v>
      </c>
      <c r="I47" s="299">
        <v>0</v>
      </c>
      <c r="J47" s="299">
        <v>0</v>
      </c>
      <c r="K47" s="299">
        <v>38005.61</v>
      </c>
      <c r="L47" s="299">
        <v>1371935.99</v>
      </c>
      <c r="M47" s="628">
        <v>12.996300000000002</v>
      </c>
      <c r="N47" s="302">
        <v>105564</v>
      </c>
      <c r="O47" s="673">
        <v>2</v>
      </c>
    </row>
    <row r="48" spans="1:15" x14ac:dyDescent="0.25">
      <c r="A48" s="268">
        <v>4046</v>
      </c>
      <c r="B48" s="177"/>
      <c r="C48" s="311">
        <v>186657</v>
      </c>
      <c r="D48" s="311">
        <v>0</v>
      </c>
      <c r="E48" s="311">
        <v>0</v>
      </c>
      <c r="F48" s="299">
        <v>214408.72</v>
      </c>
      <c r="G48" s="299">
        <v>0</v>
      </c>
      <c r="H48" s="299">
        <v>62108.41</v>
      </c>
      <c r="I48" s="299">
        <v>0</v>
      </c>
      <c r="J48" s="299">
        <v>0</v>
      </c>
      <c r="K48" s="299">
        <v>0</v>
      </c>
      <c r="L48" s="299">
        <v>463174.13</v>
      </c>
      <c r="M48" s="628">
        <v>1.7900000000000003</v>
      </c>
      <c r="N48" s="302">
        <v>258756</v>
      </c>
      <c r="O48" s="673">
        <v>1</v>
      </c>
    </row>
    <row r="49" spans="1:15" x14ac:dyDescent="0.25">
      <c r="A49" s="268">
        <v>4051</v>
      </c>
      <c r="B49" s="177"/>
      <c r="C49" s="311">
        <v>0</v>
      </c>
      <c r="D49" s="311">
        <v>0</v>
      </c>
      <c r="E49" s="311">
        <v>0</v>
      </c>
      <c r="F49" s="299">
        <v>316356.16000000003</v>
      </c>
      <c r="G49" s="299">
        <v>0</v>
      </c>
      <c r="H49" s="299">
        <v>204877.57</v>
      </c>
      <c r="I49" s="299">
        <v>0</v>
      </c>
      <c r="J49" s="299">
        <v>0</v>
      </c>
      <c r="K49" s="299">
        <v>145317.42000000001</v>
      </c>
      <c r="L49" s="299">
        <v>666551.15</v>
      </c>
      <c r="M49" s="628">
        <v>7.3538999999999994</v>
      </c>
      <c r="N49" s="302">
        <v>90639</v>
      </c>
      <c r="O49" s="673">
        <v>2</v>
      </c>
    </row>
    <row r="50" spans="1:15" x14ac:dyDescent="0.25">
      <c r="A50" s="268">
        <v>4059</v>
      </c>
      <c r="B50" s="177"/>
      <c r="C50" s="311">
        <v>13001.630000000001</v>
      </c>
      <c r="D50" s="311">
        <v>0</v>
      </c>
      <c r="E50" s="311">
        <v>0</v>
      </c>
      <c r="F50" s="299">
        <v>333663.38</v>
      </c>
      <c r="G50" s="299">
        <v>0</v>
      </c>
      <c r="H50" s="299">
        <v>202342.84</v>
      </c>
      <c r="I50" s="299">
        <v>0</v>
      </c>
      <c r="J50" s="299">
        <v>0</v>
      </c>
      <c r="K50" s="299">
        <v>20952.760000000002</v>
      </c>
      <c r="L50" s="299">
        <v>569960.61</v>
      </c>
      <c r="M50" s="628">
        <v>2.7390000000000003</v>
      </c>
      <c r="N50" s="302">
        <v>208091</v>
      </c>
      <c r="O50" s="673">
        <v>1</v>
      </c>
    </row>
    <row r="51" spans="1:15" x14ac:dyDescent="0.25">
      <c r="A51" s="268">
        <v>4070</v>
      </c>
      <c r="B51" s="177"/>
      <c r="C51" s="311">
        <v>61040.14</v>
      </c>
      <c r="D51" s="311">
        <v>0</v>
      </c>
      <c r="E51" s="311">
        <v>0</v>
      </c>
      <c r="F51" s="299">
        <v>344763.94</v>
      </c>
      <c r="G51" s="299">
        <v>0</v>
      </c>
      <c r="H51" s="299">
        <v>232145.83000000002</v>
      </c>
      <c r="I51" s="299">
        <v>0</v>
      </c>
      <c r="J51" s="299">
        <v>0</v>
      </c>
      <c r="K51" s="299">
        <v>11892.08</v>
      </c>
      <c r="L51" s="299">
        <v>649841.99</v>
      </c>
      <c r="M51" s="628">
        <v>4.4239999999999995</v>
      </c>
      <c r="N51" s="302">
        <v>146890</v>
      </c>
      <c r="O51" s="673">
        <v>1</v>
      </c>
    </row>
    <row r="52" spans="1:15" x14ac:dyDescent="0.25">
      <c r="A52" s="268">
        <v>4101</v>
      </c>
      <c r="B52" s="177"/>
      <c r="C52" s="311">
        <v>1458745.99</v>
      </c>
      <c r="D52" s="311">
        <v>278181.34999999998</v>
      </c>
      <c r="E52" s="311">
        <v>98474.790000000008</v>
      </c>
      <c r="F52" s="299">
        <v>22300100.710000001</v>
      </c>
      <c r="G52" s="299">
        <v>1382053.92</v>
      </c>
      <c r="H52" s="299">
        <v>30443253.199999999</v>
      </c>
      <c r="I52" s="299">
        <v>0</v>
      </c>
      <c r="J52" s="299">
        <v>0</v>
      </c>
      <c r="K52" s="299">
        <v>1167288.67</v>
      </c>
      <c r="L52" s="299">
        <v>57128098.629999995</v>
      </c>
      <c r="M52" s="628">
        <v>354.28050000000002</v>
      </c>
      <c r="N52" s="302">
        <v>161251</v>
      </c>
      <c r="O52" s="673">
        <v>20</v>
      </c>
    </row>
    <row r="53" spans="1:15" x14ac:dyDescent="0.25">
      <c r="A53" s="268">
        <v>4102</v>
      </c>
      <c r="B53" s="177"/>
      <c r="C53" s="311">
        <v>1466127.54</v>
      </c>
      <c r="D53" s="311">
        <v>0</v>
      </c>
      <c r="E53" s="311">
        <v>0</v>
      </c>
      <c r="F53" s="299">
        <v>2085104.22</v>
      </c>
      <c r="G53" s="299">
        <v>500489.31</v>
      </c>
      <c r="H53" s="299">
        <v>1391079.1</v>
      </c>
      <c r="I53" s="299">
        <v>0</v>
      </c>
      <c r="J53" s="299">
        <v>0</v>
      </c>
      <c r="K53" s="299">
        <v>0</v>
      </c>
      <c r="L53" s="299">
        <v>5442800.1699999999</v>
      </c>
      <c r="M53" s="628">
        <v>8.4268000000000001</v>
      </c>
      <c r="N53" s="302">
        <v>645892</v>
      </c>
      <c r="O53" s="673">
        <v>6</v>
      </c>
    </row>
    <row r="54" spans="1:15" x14ac:dyDescent="0.25">
      <c r="A54" s="268">
        <v>4104</v>
      </c>
      <c r="B54" s="177" t="s">
        <v>1584</v>
      </c>
      <c r="C54" s="311">
        <v>1330950.5848394269</v>
      </c>
      <c r="D54" s="311">
        <v>0</v>
      </c>
      <c r="E54" s="311">
        <v>0</v>
      </c>
      <c r="F54" s="299">
        <v>5814541.8200000003</v>
      </c>
      <c r="G54" s="299">
        <v>176103.17</v>
      </c>
      <c r="H54" s="299">
        <v>3132692.71</v>
      </c>
      <c r="I54" s="299"/>
      <c r="J54" s="299"/>
      <c r="K54" s="299">
        <v>230329.84709513982</v>
      </c>
      <c r="L54" s="299">
        <v>10684618.131934566</v>
      </c>
      <c r="M54" s="628">
        <v>143.64699999999999</v>
      </c>
      <c r="N54" s="302">
        <v>74381</v>
      </c>
      <c r="O54" s="673">
        <v>10</v>
      </c>
    </row>
    <row r="55" spans="1:15" x14ac:dyDescent="0.25">
      <c r="A55" s="268">
        <v>4104</v>
      </c>
      <c r="B55" s="177" t="s">
        <v>1585</v>
      </c>
      <c r="C55" s="311">
        <v>384.51516057304519</v>
      </c>
      <c r="D55" s="311">
        <v>0</v>
      </c>
      <c r="E55" s="311">
        <v>0</v>
      </c>
      <c r="F55" s="299"/>
      <c r="G55" s="299"/>
      <c r="H55" s="299"/>
      <c r="I55" s="299">
        <v>1479.8600000000001</v>
      </c>
      <c r="J55" s="299">
        <v>260160.02000000002</v>
      </c>
      <c r="K55" s="299">
        <v>66.542904860166274</v>
      </c>
      <c r="L55" s="299">
        <v>262090.93806543323</v>
      </c>
      <c r="M55" s="628">
        <v>4.1500000000000002E-2</v>
      </c>
      <c r="N55" s="302">
        <v>6315444</v>
      </c>
      <c r="O55" s="673"/>
    </row>
    <row r="56" spans="1:15" x14ac:dyDescent="0.25">
      <c r="A56" s="268">
        <v>4107</v>
      </c>
      <c r="B56" s="177"/>
      <c r="C56" s="311">
        <v>2639645.79</v>
      </c>
      <c r="D56" s="311">
        <v>326477.97000000003</v>
      </c>
      <c r="E56" s="321">
        <v>0</v>
      </c>
      <c r="F56" s="299">
        <v>8888468.8000000119</v>
      </c>
      <c r="G56" s="322">
        <v>0</v>
      </c>
      <c r="H56" s="299">
        <v>6813717.9199999869</v>
      </c>
      <c r="I56" s="322">
        <v>0</v>
      </c>
      <c r="J56" s="322">
        <v>0</v>
      </c>
      <c r="K56" s="299">
        <v>836446.34999999951</v>
      </c>
      <c r="L56" s="299">
        <v>19504756.829999994</v>
      </c>
      <c r="M56" s="628">
        <v>270.78870000000006</v>
      </c>
      <c r="N56" s="302">
        <v>72029</v>
      </c>
      <c r="O56" s="673">
        <v>10</v>
      </c>
    </row>
    <row r="57" spans="1:15" x14ac:dyDescent="0.25">
      <c r="A57" s="268">
        <v>4712</v>
      </c>
      <c r="B57" s="177"/>
      <c r="C57" s="311" t="s">
        <v>1010</v>
      </c>
      <c r="D57" s="311" t="s">
        <v>1010</v>
      </c>
      <c r="E57" s="311" t="s">
        <v>1010</v>
      </c>
      <c r="F57" s="299">
        <v>90778824.769999981</v>
      </c>
      <c r="G57" s="322">
        <v>0</v>
      </c>
      <c r="H57" s="299">
        <v>9514634.9400000125</v>
      </c>
      <c r="I57" s="299" t="s">
        <v>1010</v>
      </c>
      <c r="J57" s="299" t="s">
        <v>1010</v>
      </c>
      <c r="K57" s="299">
        <v>2.0000000484287739E-2</v>
      </c>
      <c r="L57" s="299">
        <v>100293459.72999999</v>
      </c>
      <c r="M57" s="628">
        <v>21.52</v>
      </c>
      <c r="N57" s="302">
        <v>4660476.7532527875</v>
      </c>
      <c r="O57" s="673">
        <v>1</v>
      </c>
    </row>
    <row r="58" spans="1:15" x14ac:dyDescent="0.25">
      <c r="A58" s="268">
        <v>4108</v>
      </c>
      <c r="B58" s="177"/>
      <c r="C58" s="311">
        <v>8067990.54</v>
      </c>
      <c r="D58" s="311">
        <v>3035776.63</v>
      </c>
      <c r="E58" s="311">
        <v>0</v>
      </c>
      <c r="F58" s="299">
        <v>14114756.310000001</v>
      </c>
      <c r="G58" s="299">
        <v>1558476.38</v>
      </c>
      <c r="H58" s="299">
        <v>14150890.85</v>
      </c>
      <c r="I58" s="299">
        <v>105.92</v>
      </c>
      <c r="J58" s="299">
        <v>0</v>
      </c>
      <c r="K58" s="299">
        <v>454130.57</v>
      </c>
      <c r="L58" s="299">
        <v>41382127.200000003</v>
      </c>
      <c r="M58" s="628">
        <v>169.202</v>
      </c>
      <c r="N58" s="302">
        <v>244572</v>
      </c>
      <c r="O58" s="673">
        <v>5</v>
      </c>
    </row>
    <row r="59" spans="1:15" x14ac:dyDescent="0.25">
      <c r="A59" s="268">
        <v>4109</v>
      </c>
      <c r="B59" s="177"/>
      <c r="C59" s="311" t="s">
        <v>1010</v>
      </c>
      <c r="D59" s="311" t="s">
        <v>1010</v>
      </c>
      <c r="E59" s="311" t="s">
        <v>1010</v>
      </c>
      <c r="F59" s="299" t="s">
        <v>1010</v>
      </c>
      <c r="G59" s="299" t="s">
        <v>1010</v>
      </c>
      <c r="H59" s="299" t="s">
        <v>1010</v>
      </c>
      <c r="I59" s="299" t="s">
        <v>1010</v>
      </c>
      <c r="J59" s="299" t="s">
        <v>1010</v>
      </c>
      <c r="K59" s="299" t="s">
        <v>1010</v>
      </c>
      <c r="L59" s="299">
        <v>0</v>
      </c>
      <c r="M59" s="628">
        <v>0.3826</v>
      </c>
      <c r="N59" s="302">
        <v>0</v>
      </c>
      <c r="O59" s="673">
        <v>1</v>
      </c>
    </row>
    <row r="60" spans="1:15" x14ac:dyDescent="0.25">
      <c r="A60" s="268">
        <v>4111</v>
      </c>
      <c r="B60" s="177"/>
      <c r="C60" s="311">
        <v>1943.63</v>
      </c>
      <c r="D60" s="311">
        <v>0</v>
      </c>
      <c r="E60" s="311">
        <v>0</v>
      </c>
      <c r="F60" s="299">
        <v>133733.62</v>
      </c>
      <c r="G60" s="299">
        <v>0</v>
      </c>
      <c r="H60" s="299">
        <v>155709.53</v>
      </c>
      <c r="I60" s="299">
        <v>0</v>
      </c>
      <c r="J60" s="299">
        <v>0</v>
      </c>
      <c r="K60" s="299">
        <v>29428.59</v>
      </c>
      <c r="L60" s="299">
        <v>320815.37000000005</v>
      </c>
      <c r="M60" s="628">
        <v>5.7905999999999995</v>
      </c>
      <c r="N60" s="302">
        <v>55403</v>
      </c>
      <c r="O60" s="673">
        <v>1</v>
      </c>
    </row>
    <row r="61" spans="1:15" x14ac:dyDescent="0.25">
      <c r="A61" s="268">
        <v>4113</v>
      </c>
      <c r="B61" s="177"/>
      <c r="C61" s="311">
        <v>874871.71</v>
      </c>
      <c r="D61" s="311">
        <v>0</v>
      </c>
      <c r="E61" s="311">
        <v>0</v>
      </c>
      <c r="F61" s="299">
        <v>1841245.76</v>
      </c>
      <c r="G61" s="299">
        <v>206178.44</v>
      </c>
      <c r="H61" s="299">
        <v>2150449.19</v>
      </c>
      <c r="I61" s="299">
        <v>0</v>
      </c>
      <c r="J61" s="299">
        <v>0</v>
      </c>
      <c r="K61" s="299">
        <v>631017.85</v>
      </c>
      <c r="L61" s="299">
        <v>5703762.9499999993</v>
      </c>
      <c r="M61" s="628">
        <v>129.55309999999997</v>
      </c>
      <c r="N61" s="302">
        <v>44026</v>
      </c>
      <c r="O61" s="673">
        <v>2</v>
      </c>
    </row>
    <row r="62" spans="1:15" x14ac:dyDescent="0.25">
      <c r="A62" s="268">
        <v>4114</v>
      </c>
      <c r="B62" s="177"/>
      <c r="C62" s="311">
        <v>3210586.56</v>
      </c>
      <c r="D62" s="311">
        <v>539508.99</v>
      </c>
      <c r="E62" s="311">
        <v>661181.77</v>
      </c>
      <c r="F62" s="299">
        <v>13532583.640000001</v>
      </c>
      <c r="G62" s="299">
        <v>147920.36000000002</v>
      </c>
      <c r="H62" s="299">
        <v>9682086.0899999999</v>
      </c>
      <c r="I62" s="299">
        <v>0</v>
      </c>
      <c r="J62" s="299">
        <v>0</v>
      </c>
      <c r="K62" s="299">
        <v>304171.08</v>
      </c>
      <c r="L62" s="299">
        <v>28078038.489999998</v>
      </c>
      <c r="M62" s="628">
        <v>129.55309999999997</v>
      </c>
      <c r="N62" s="302">
        <v>216730</v>
      </c>
      <c r="O62" s="673">
        <v>13</v>
      </c>
    </row>
    <row r="63" spans="1:15" x14ac:dyDescent="0.25">
      <c r="A63" s="268">
        <v>4115</v>
      </c>
      <c r="B63" s="177"/>
      <c r="C63" s="311">
        <v>1607024.1400000001</v>
      </c>
      <c r="D63" s="311">
        <v>531634.82999999996</v>
      </c>
      <c r="E63" s="311">
        <v>2148.6799999999998</v>
      </c>
      <c r="F63" s="299">
        <v>3599135.37</v>
      </c>
      <c r="G63" s="299">
        <v>394606.06</v>
      </c>
      <c r="H63" s="299">
        <v>2096242.82</v>
      </c>
      <c r="I63" s="299">
        <v>0</v>
      </c>
      <c r="J63" s="299">
        <v>0</v>
      </c>
      <c r="K63" s="299">
        <v>27417.100000000002</v>
      </c>
      <c r="L63" s="299">
        <v>8258209</v>
      </c>
      <c r="M63" s="628">
        <v>27.066800000000001</v>
      </c>
      <c r="N63" s="302">
        <v>305105</v>
      </c>
      <c r="O63" s="673">
        <v>4</v>
      </c>
    </row>
    <row r="64" spans="1:15" x14ac:dyDescent="0.25">
      <c r="A64" s="268">
        <v>4116</v>
      </c>
      <c r="B64" s="177" t="s">
        <v>1584</v>
      </c>
      <c r="C64" s="311">
        <v>3557159.596354303</v>
      </c>
      <c r="D64" s="311">
        <v>173087.49405091387</v>
      </c>
      <c r="E64" s="311">
        <v>2043.3999919479504</v>
      </c>
      <c r="F64" s="299">
        <v>3216620.47</v>
      </c>
      <c r="G64" s="299">
        <v>10134526.58</v>
      </c>
      <c r="H64" s="299">
        <v>6778329.4199999999</v>
      </c>
      <c r="I64" s="299"/>
      <c r="J64" s="299"/>
      <c r="K64" s="299">
        <v>13416.662802835284</v>
      </c>
      <c r="L64" s="299">
        <v>23875183.623200003</v>
      </c>
      <c r="M64" s="628">
        <v>90.452699999999993</v>
      </c>
      <c r="N64" s="302">
        <v>263952</v>
      </c>
      <c r="O64" s="673">
        <v>13</v>
      </c>
    </row>
    <row r="65" spans="1:15" x14ac:dyDescent="0.25">
      <c r="A65" s="268">
        <v>4116</v>
      </c>
      <c r="B65" s="177" t="s">
        <v>1585</v>
      </c>
      <c r="C65" s="311">
        <v>37462.123645696694</v>
      </c>
      <c r="D65" s="311">
        <v>1822.865949086103</v>
      </c>
      <c r="E65" s="311">
        <v>21.520008052049498</v>
      </c>
      <c r="F65" s="299"/>
      <c r="G65" s="299"/>
      <c r="H65" s="299"/>
      <c r="I65" s="299">
        <v>180588.95</v>
      </c>
      <c r="J65" s="299">
        <v>456827.96</v>
      </c>
      <c r="K65" s="299">
        <v>141.29719716471584</v>
      </c>
      <c r="L65" s="299">
        <v>676864.71679999959</v>
      </c>
      <c r="M65" s="628">
        <v>0.9526</v>
      </c>
      <c r="N65" s="302">
        <v>710545</v>
      </c>
      <c r="O65" s="673"/>
    </row>
    <row r="66" spans="1:15" x14ac:dyDescent="0.25">
      <c r="A66" s="268">
        <v>4117</v>
      </c>
      <c r="B66" s="177"/>
      <c r="C66" s="311">
        <v>1005508.84</v>
      </c>
      <c r="D66" s="311">
        <v>7083.96</v>
      </c>
      <c r="E66" s="311">
        <v>12857.19</v>
      </c>
      <c r="F66" s="299">
        <v>15332990.960000001</v>
      </c>
      <c r="G66" s="299">
        <v>693485.29</v>
      </c>
      <c r="H66" s="299">
        <v>19819154.559999999</v>
      </c>
      <c r="I66" s="299">
        <v>0</v>
      </c>
      <c r="J66" s="299">
        <v>0</v>
      </c>
      <c r="K66" s="299">
        <v>151161.80000000002</v>
      </c>
      <c r="L66" s="299">
        <v>37022242.599999994</v>
      </c>
      <c r="M66" s="628">
        <v>305.18490000000003</v>
      </c>
      <c r="N66" s="302">
        <v>121311</v>
      </c>
      <c r="O66" s="673">
        <v>5</v>
      </c>
    </row>
    <row r="67" spans="1:15" x14ac:dyDescent="0.25">
      <c r="A67" s="268">
        <v>4118</v>
      </c>
      <c r="B67" s="177" t="s">
        <v>1692</v>
      </c>
      <c r="C67" s="311">
        <v>5517481.6640701368</v>
      </c>
      <c r="D67" s="311">
        <v>131133.91412493581</v>
      </c>
      <c r="E67" s="311">
        <v>2204.3147870035195</v>
      </c>
      <c r="F67" s="299">
        <v>17463595.319707122</v>
      </c>
      <c r="G67" s="299">
        <v>239219.19952343524</v>
      </c>
      <c r="H67" s="299">
        <v>14140591.13921465</v>
      </c>
      <c r="I67" s="299">
        <v>0</v>
      </c>
      <c r="J67" s="299">
        <v>0</v>
      </c>
      <c r="K67" s="299">
        <v>184126.43952002205</v>
      </c>
      <c r="L67" s="299">
        <v>37678351.990947306</v>
      </c>
      <c r="M67" s="628">
        <v>155.75350000000003</v>
      </c>
      <c r="N67" s="302">
        <v>241910</v>
      </c>
      <c r="O67" s="673">
        <v>16</v>
      </c>
    </row>
    <row r="68" spans="1:15" x14ac:dyDescent="0.25">
      <c r="A68" s="268">
        <v>4119</v>
      </c>
      <c r="B68" s="177"/>
      <c r="C68" s="311">
        <v>2099779.5099999998</v>
      </c>
      <c r="D68" s="311">
        <v>71859.649999999994</v>
      </c>
      <c r="E68" s="311">
        <v>100.89</v>
      </c>
      <c r="F68" s="299">
        <v>7928455.71</v>
      </c>
      <c r="G68" s="299">
        <v>85176.26</v>
      </c>
      <c r="H68" s="299">
        <v>14846644.51</v>
      </c>
      <c r="I68" s="299">
        <v>0</v>
      </c>
      <c r="J68" s="299">
        <v>0</v>
      </c>
      <c r="K68" s="299">
        <v>52430.62</v>
      </c>
      <c r="L68" s="299">
        <v>25084447.150000002</v>
      </c>
      <c r="M68" s="628">
        <v>137.6463</v>
      </c>
      <c r="N68" s="302">
        <v>182238</v>
      </c>
      <c r="O68" s="673">
        <v>9</v>
      </c>
    </row>
    <row r="69" spans="1:15" x14ac:dyDescent="0.25">
      <c r="A69" s="268">
        <v>4120</v>
      </c>
      <c r="B69" s="177"/>
      <c r="C69" s="311">
        <v>4270254.47</v>
      </c>
      <c r="D69" s="311">
        <v>298149.87</v>
      </c>
      <c r="E69" s="311">
        <v>3380</v>
      </c>
      <c r="F69" s="299">
        <v>6078503.1399999997</v>
      </c>
      <c r="G69" s="299">
        <v>880665.23</v>
      </c>
      <c r="H69" s="299">
        <v>5638404.1699999999</v>
      </c>
      <c r="I69" s="299">
        <v>256.07</v>
      </c>
      <c r="J69" s="299">
        <v>0</v>
      </c>
      <c r="K69" s="299">
        <v>33420.090000000004</v>
      </c>
      <c r="L69" s="299">
        <v>17203033.040000003</v>
      </c>
      <c r="M69" s="628">
        <v>124.6726</v>
      </c>
      <c r="N69" s="302">
        <v>137986</v>
      </c>
      <c r="O69" s="673">
        <v>14</v>
      </c>
    </row>
    <row r="70" spans="1:15" x14ac:dyDescent="0.25">
      <c r="A70" s="268">
        <v>4121</v>
      </c>
      <c r="B70" s="177"/>
      <c r="C70" s="311">
        <v>353928.47000000003</v>
      </c>
      <c r="D70" s="311">
        <v>0</v>
      </c>
      <c r="E70" s="311">
        <v>0</v>
      </c>
      <c r="F70" s="299">
        <v>2001171</v>
      </c>
      <c r="G70" s="299">
        <v>186227.08000000002</v>
      </c>
      <c r="H70" s="299">
        <v>2052409.28</v>
      </c>
      <c r="I70" s="299">
        <v>0</v>
      </c>
      <c r="J70" s="299">
        <v>0</v>
      </c>
      <c r="K70" s="299">
        <v>143697.42000000001</v>
      </c>
      <c r="L70" s="299">
        <v>4737433.25</v>
      </c>
      <c r="M70" s="628">
        <v>135.41370000000001</v>
      </c>
      <c r="N70" s="302">
        <v>34985</v>
      </c>
      <c r="O70" s="673">
        <v>2</v>
      </c>
    </row>
    <row r="71" spans="1:15" x14ac:dyDescent="0.25">
      <c r="A71" s="268">
        <v>4125</v>
      </c>
      <c r="B71" s="177"/>
      <c r="C71" s="311">
        <v>11414611.949999999</v>
      </c>
      <c r="D71" s="311">
        <v>1769771.2900000003</v>
      </c>
      <c r="E71" s="311">
        <v>1918.1100000000001</v>
      </c>
      <c r="F71" s="299">
        <v>31301974.59</v>
      </c>
      <c r="G71" s="299">
        <v>492122.97000000003</v>
      </c>
      <c r="H71" s="299">
        <v>13806093.699999999</v>
      </c>
      <c r="I71" s="299">
        <v>0</v>
      </c>
      <c r="J71" s="299">
        <v>0</v>
      </c>
      <c r="K71" s="299">
        <v>1781163.24</v>
      </c>
      <c r="L71" s="299">
        <v>60567655.850000001</v>
      </c>
      <c r="M71" s="628">
        <v>414.74720000000002</v>
      </c>
      <c r="N71" s="302">
        <v>146035</v>
      </c>
      <c r="O71" s="673">
        <v>15</v>
      </c>
    </row>
    <row r="72" spans="1:15" x14ac:dyDescent="0.25">
      <c r="A72" s="268">
        <v>4127</v>
      </c>
      <c r="B72" s="177"/>
      <c r="C72" s="311">
        <v>19842.47</v>
      </c>
      <c r="D72" s="311">
        <v>0</v>
      </c>
      <c r="E72" s="311">
        <v>0</v>
      </c>
      <c r="F72" s="299">
        <v>647655.18000000005</v>
      </c>
      <c r="G72" s="299">
        <v>0</v>
      </c>
      <c r="H72" s="299">
        <v>549802.78</v>
      </c>
      <c r="I72" s="299">
        <v>0</v>
      </c>
      <c r="J72" s="299">
        <v>0</v>
      </c>
      <c r="K72" s="299">
        <v>5205.42</v>
      </c>
      <c r="L72" s="299">
        <v>1222505.8500000001</v>
      </c>
      <c r="M72" s="628">
        <v>85.088799999999992</v>
      </c>
      <c r="N72" s="302">
        <v>14367</v>
      </c>
      <c r="O72" s="673">
        <v>4</v>
      </c>
    </row>
    <row r="73" spans="1:15" x14ac:dyDescent="0.25">
      <c r="A73" s="268">
        <v>4135</v>
      </c>
      <c r="B73" s="177" t="s">
        <v>1692</v>
      </c>
      <c r="C73" s="311">
        <v>1783804.844808185</v>
      </c>
      <c r="D73" s="311">
        <v>0</v>
      </c>
      <c r="E73" s="311">
        <v>0</v>
      </c>
      <c r="F73" s="299">
        <v>9196931.3379978891</v>
      </c>
      <c r="G73" s="299">
        <v>2406295.9417583831</v>
      </c>
      <c r="H73" s="299">
        <v>6685421.8328429181</v>
      </c>
      <c r="I73" s="299">
        <v>0</v>
      </c>
      <c r="J73" s="299">
        <v>0</v>
      </c>
      <c r="K73" s="299">
        <v>97780.041298108306</v>
      </c>
      <c r="L73" s="299">
        <v>20170233.998705488</v>
      </c>
      <c r="M73" s="628">
        <v>206.1454</v>
      </c>
      <c r="N73" s="302">
        <v>97845</v>
      </c>
      <c r="O73" s="673">
        <v>6</v>
      </c>
    </row>
    <row r="74" spans="1:15" x14ac:dyDescent="0.25">
      <c r="A74" s="268">
        <v>4144</v>
      </c>
      <c r="B74" s="177"/>
      <c r="C74" s="311">
        <v>9993.51</v>
      </c>
      <c r="D74" s="311">
        <v>0</v>
      </c>
      <c r="E74" s="311">
        <v>0</v>
      </c>
      <c r="F74" s="299">
        <v>473674.37</v>
      </c>
      <c r="G74" s="299">
        <v>0</v>
      </c>
      <c r="H74" s="299">
        <v>429215.12</v>
      </c>
      <c r="I74" s="299">
        <v>0</v>
      </c>
      <c r="J74" s="299">
        <v>0</v>
      </c>
      <c r="K74" s="299">
        <v>1023.2900000000001</v>
      </c>
      <c r="L74" s="299">
        <v>913906.29</v>
      </c>
      <c r="M74" s="628">
        <v>30.635900000000003</v>
      </c>
      <c r="N74" s="302">
        <v>29831</v>
      </c>
      <c r="O74" s="673">
        <v>2</v>
      </c>
    </row>
    <row r="75" spans="1:15" x14ac:dyDescent="0.25">
      <c r="A75" s="268">
        <v>4147</v>
      </c>
      <c r="B75" s="177" t="s">
        <v>83</v>
      </c>
      <c r="C75" s="311">
        <v>3855187.64</v>
      </c>
      <c r="D75" s="311">
        <v>0</v>
      </c>
      <c r="E75" s="311">
        <v>1880.02</v>
      </c>
      <c r="F75" s="299">
        <v>2767069.92</v>
      </c>
      <c r="G75" s="299">
        <v>0</v>
      </c>
      <c r="H75" s="299">
        <v>1983886.92</v>
      </c>
      <c r="I75" s="299">
        <v>0</v>
      </c>
      <c r="J75" s="299">
        <v>0</v>
      </c>
      <c r="K75" s="299">
        <v>145186.74</v>
      </c>
      <c r="L75" s="299">
        <v>8753211.2400000002</v>
      </c>
      <c r="M75" s="628">
        <v>27.483199999999997</v>
      </c>
      <c r="N75" s="302">
        <v>318493</v>
      </c>
      <c r="O75" s="673">
        <v>1</v>
      </c>
    </row>
    <row r="76" spans="1:15" x14ac:dyDescent="0.25">
      <c r="A76" s="268">
        <v>4153</v>
      </c>
      <c r="B76" s="177"/>
      <c r="C76" s="311">
        <v>309032.19</v>
      </c>
      <c r="D76" s="311">
        <v>0</v>
      </c>
      <c r="E76" s="311">
        <v>0</v>
      </c>
      <c r="F76" s="299">
        <v>60375.01</v>
      </c>
      <c r="G76" s="299">
        <v>810005.9</v>
      </c>
      <c r="H76" s="299">
        <v>308138.48</v>
      </c>
      <c r="I76" s="299">
        <v>0</v>
      </c>
      <c r="J76" s="299">
        <v>0</v>
      </c>
      <c r="K76" s="299">
        <v>23687.21</v>
      </c>
      <c r="L76" s="299">
        <v>1511238.79</v>
      </c>
      <c r="M76" s="628">
        <v>13.1274</v>
      </c>
      <c r="N76" s="302">
        <v>115121</v>
      </c>
      <c r="O76" s="673">
        <v>1</v>
      </c>
    </row>
    <row r="77" spans="1:15" x14ac:dyDescent="0.25">
      <c r="A77" s="268">
        <v>4156</v>
      </c>
      <c r="B77" s="177"/>
      <c r="C77" s="311">
        <v>12025290.050000001</v>
      </c>
      <c r="D77" s="311">
        <v>0</v>
      </c>
      <c r="E77" s="311">
        <v>0</v>
      </c>
      <c r="F77" s="299">
        <v>2262699.96</v>
      </c>
      <c r="G77" s="299">
        <v>6476819.3899999997</v>
      </c>
      <c r="H77" s="299">
        <v>2971325.74</v>
      </c>
      <c r="I77" s="299">
        <v>0</v>
      </c>
      <c r="J77" s="299">
        <v>0</v>
      </c>
      <c r="K77" s="299">
        <v>38262.090000000004</v>
      </c>
      <c r="L77" s="299">
        <v>23774397.23</v>
      </c>
      <c r="M77" s="628">
        <v>29.492999999999999</v>
      </c>
      <c r="N77" s="302">
        <v>806103</v>
      </c>
      <c r="O77" s="673">
        <v>3</v>
      </c>
    </row>
    <row r="78" spans="1:15" x14ac:dyDescent="0.25">
      <c r="A78" s="268">
        <v>4157</v>
      </c>
      <c r="B78" s="177"/>
      <c r="C78" s="311">
        <v>105605.40000000001</v>
      </c>
      <c r="D78" s="311">
        <v>18610.490000000002</v>
      </c>
      <c r="E78" s="311">
        <v>0</v>
      </c>
      <c r="F78" s="299">
        <v>1994780.51</v>
      </c>
      <c r="G78" s="299">
        <v>0</v>
      </c>
      <c r="H78" s="299">
        <v>3584786.21</v>
      </c>
      <c r="I78" s="299">
        <v>0</v>
      </c>
      <c r="J78" s="299">
        <v>0</v>
      </c>
      <c r="K78" s="299">
        <v>537026.46</v>
      </c>
      <c r="L78" s="299">
        <v>6240809.0699999994</v>
      </c>
      <c r="M78" s="628">
        <v>20.572199999999999</v>
      </c>
      <c r="N78" s="302">
        <v>303361</v>
      </c>
      <c r="O78" s="673">
        <v>1</v>
      </c>
    </row>
    <row r="79" spans="1:15" x14ac:dyDescent="0.25">
      <c r="A79" s="268">
        <v>4166</v>
      </c>
      <c r="B79" s="177"/>
      <c r="C79" s="311">
        <v>9034.39</v>
      </c>
      <c r="D79" s="311">
        <v>0</v>
      </c>
      <c r="E79" s="311">
        <v>0</v>
      </c>
      <c r="F79" s="299">
        <v>164050.6</v>
      </c>
      <c r="G79" s="299">
        <v>0</v>
      </c>
      <c r="H79" s="299">
        <v>136430.68</v>
      </c>
      <c r="I79" s="299">
        <v>0</v>
      </c>
      <c r="J79" s="299">
        <v>0</v>
      </c>
      <c r="K79" s="299">
        <v>0</v>
      </c>
      <c r="L79" s="299">
        <v>309515.67</v>
      </c>
      <c r="M79" s="628">
        <v>9.0272000000000006</v>
      </c>
      <c r="N79" s="302">
        <v>34287</v>
      </c>
      <c r="O79" s="673">
        <v>2</v>
      </c>
    </row>
    <row r="80" spans="1:15" x14ac:dyDescent="0.25">
      <c r="A80" s="268">
        <v>4168</v>
      </c>
      <c r="B80" s="177"/>
      <c r="C80" s="311">
        <v>4331.1900000000005</v>
      </c>
      <c r="D80" s="311">
        <v>0</v>
      </c>
      <c r="E80" s="311">
        <v>0</v>
      </c>
      <c r="F80" s="299">
        <v>262365.32</v>
      </c>
      <c r="G80" s="299">
        <v>0</v>
      </c>
      <c r="H80" s="299">
        <v>526630.69000000006</v>
      </c>
      <c r="I80" s="299">
        <v>0</v>
      </c>
      <c r="J80" s="299">
        <v>0</v>
      </c>
      <c r="K80" s="299">
        <v>37889.78</v>
      </c>
      <c r="L80" s="299">
        <v>831216.9800000001</v>
      </c>
      <c r="M80" s="628">
        <v>6.5039999999999996</v>
      </c>
      <c r="N80" s="302">
        <v>127801</v>
      </c>
      <c r="O80" s="673">
        <v>1</v>
      </c>
    </row>
    <row r="81" spans="1:15" x14ac:dyDescent="0.25">
      <c r="A81" s="268">
        <v>4169</v>
      </c>
      <c r="B81" s="177"/>
      <c r="C81" s="311">
        <v>3565382.17</v>
      </c>
      <c r="D81" s="311">
        <v>0</v>
      </c>
      <c r="E81" s="311">
        <v>2701.36</v>
      </c>
      <c r="F81" s="299">
        <v>8725005.1899999995</v>
      </c>
      <c r="G81" s="299">
        <v>398445.75</v>
      </c>
      <c r="H81" s="299">
        <v>6065937.5199999996</v>
      </c>
      <c r="I81" s="299">
        <v>0</v>
      </c>
      <c r="J81" s="299">
        <v>0</v>
      </c>
      <c r="K81" s="299">
        <v>106152.06</v>
      </c>
      <c r="L81" s="299">
        <v>18863624.049999997</v>
      </c>
      <c r="M81" s="628">
        <v>297.62279999999993</v>
      </c>
      <c r="N81" s="302">
        <v>63381</v>
      </c>
      <c r="O81" s="673">
        <v>9</v>
      </c>
    </row>
    <row r="82" spans="1:15" x14ac:dyDescent="0.25">
      <c r="A82" s="268">
        <v>4189</v>
      </c>
      <c r="B82" s="177"/>
      <c r="C82" s="311">
        <v>78247.820000000007</v>
      </c>
      <c r="D82" s="311">
        <v>0</v>
      </c>
      <c r="E82" s="311">
        <v>0</v>
      </c>
      <c r="F82" s="299">
        <v>1521458.25</v>
      </c>
      <c r="G82" s="299">
        <v>0</v>
      </c>
      <c r="H82" s="299">
        <v>1397143.6600000001</v>
      </c>
      <c r="I82" s="299">
        <v>0</v>
      </c>
      <c r="J82" s="299">
        <v>0</v>
      </c>
      <c r="K82" s="299">
        <v>0</v>
      </c>
      <c r="L82" s="299">
        <v>2996849.7300000004</v>
      </c>
      <c r="M82" s="628">
        <v>6.4975000000000005</v>
      </c>
      <c r="N82" s="302">
        <v>461231</v>
      </c>
      <c r="O82" s="673">
        <v>2</v>
      </c>
    </row>
    <row r="83" spans="1:15" x14ac:dyDescent="0.25">
      <c r="A83" s="268">
        <v>4193</v>
      </c>
      <c r="B83" s="177"/>
      <c r="C83" s="311">
        <v>0</v>
      </c>
      <c r="D83" s="311">
        <v>0</v>
      </c>
      <c r="E83" s="311">
        <v>0</v>
      </c>
      <c r="F83" s="299">
        <v>4152835.97</v>
      </c>
      <c r="G83" s="299">
        <v>64888.060000000005</v>
      </c>
      <c r="H83" s="299">
        <v>2461080.46</v>
      </c>
      <c r="I83" s="299">
        <v>0</v>
      </c>
      <c r="J83" s="299">
        <v>0</v>
      </c>
      <c r="K83" s="299">
        <v>0</v>
      </c>
      <c r="L83" s="299">
        <v>6678804.4900000002</v>
      </c>
      <c r="M83" s="628">
        <v>4.6568000000000005</v>
      </c>
      <c r="N83" s="302">
        <v>1434205</v>
      </c>
      <c r="O83" s="673">
        <v>1</v>
      </c>
    </row>
    <row r="84" spans="1:15" x14ac:dyDescent="0.25">
      <c r="A84" s="268">
        <v>4756</v>
      </c>
      <c r="B84" s="177"/>
      <c r="C84" s="311">
        <v>1079576.73</v>
      </c>
      <c r="D84" s="311">
        <v>0</v>
      </c>
      <c r="E84" s="311">
        <v>0</v>
      </c>
      <c r="F84" s="299">
        <v>6958865.29</v>
      </c>
      <c r="G84" s="299">
        <v>568180.1</v>
      </c>
      <c r="H84" s="299">
        <v>4604528.13</v>
      </c>
      <c r="I84" s="299">
        <v>0</v>
      </c>
      <c r="J84" s="299">
        <v>0</v>
      </c>
      <c r="K84" s="299">
        <v>119281.33</v>
      </c>
      <c r="L84" s="317">
        <v>13330431.58</v>
      </c>
      <c r="M84" s="628">
        <v>120.3068</v>
      </c>
      <c r="N84" s="302">
        <v>110804</v>
      </c>
      <c r="O84" s="673">
        <v>3</v>
      </c>
    </row>
    <row r="85" spans="1:15" x14ac:dyDescent="0.25">
      <c r="A85" s="268">
        <v>4708</v>
      </c>
      <c r="B85" s="268"/>
      <c r="C85" s="311">
        <v>0</v>
      </c>
      <c r="D85" s="311">
        <v>0</v>
      </c>
      <c r="E85" s="311">
        <v>0</v>
      </c>
      <c r="F85" s="299">
        <v>13746933.359999999</v>
      </c>
      <c r="G85" s="299">
        <v>30818084.09</v>
      </c>
      <c r="H85" s="299">
        <v>19251106.649999999</v>
      </c>
      <c r="I85" s="299">
        <v>0</v>
      </c>
      <c r="J85" s="299">
        <v>0</v>
      </c>
      <c r="K85" s="299">
        <v>0</v>
      </c>
      <c r="L85" s="317">
        <v>63816124.100000001</v>
      </c>
      <c r="M85" s="628">
        <v>25.7</v>
      </c>
      <c r="N85" s="302">
        <v>2483118</v>
      </c>
      <c r="O85" s="673">
        <v>1</v>
      </c>
    </row>
    <row r="86" spans="1:15" x14ac:dyDescent="0.25">
      <c r="A86" s="268">
        <v>4644</v>
      </c>
      <c r="B86" s="268"/>
      <c r="C86" s="323"/>
      <c r="D86" s="311">
        <v>0</v>
      </c>
      <c r="E86" s="311">
        <v>0</v>
      </c>
      <c r="F86" s="299">
        <v>27679225.5</v>
      </c>
      <c r="G86" s="299">
        <v>2721999.36</v>
      </c>
      <c r="H86" s="299">
        <v>13931303.82</v>
      </c>
      <c r="I86" s="299">
        <v>0</v>
      </c>
      <c r="J86" s="299">
        <v>0</v>
      </c>
      <c r="K86" s="299">
        <v>89385747.430000007</v>
      </c>
      <c r="L86" s="317">
        <v>133718276.11000001</v>
      </c>
      <c r="M86" s="628">
        <v>26.39</v>
      </c>
      <c r="N86" s="302">
        <v>5067006</v>
      </c>
      <c r="O86" s="673">
        <v>1</v>
      </c>
    </row>
    <row r="87" spans="1:15" x14ac:dyDescent="0.25">
      <c r="A87" s="337">
        <v>5015</v>
      </c>
      <c r="B87" s="234" t="s">
        <v>1796</v>
      </c>
      <c r="C87" s="311" t="s">
        <v>1776</v>
      </c>
      <c r="D87" s="311" t="s">
        <v>1776</v>
      </c>
      <c r="E87" s="311" t="s">
        <v>1776</v>
      </c>
      <c r="F87" s="299">
        <v>0</v>
      </c>
      <c r="G87" s="299">
        <v>0</v>
      </c>
      <c r="H87" s="299">
        <v>0</v>
      </c>
      <c r="I87" s="299">
        <v>0</v>
      </c>
      <c r="J87" s="299">
        <v>0</v>
      </c>
      <c r="K87" s="299">
        <v>4090.1600000000003</v>
      </c>
      <c r="L87" s="317">
        <v>4090</v>
      </c>
      <c r="M87" s="631" t="s">
        <v>1541</v>
      </c>
      <c r="N87" s="302"/>
      <c r="O87" s="665"/>
    </row>
    <row r="88" spans="1:15" x14ac:dyDescent="0.25">
      <c r="A88" s="337">
        <v>5053</v>
      </c>
      <c r="B88" s="234" t="s">
        <v>1797</v>
      </c>
      <c r="C88" s="311" t="s">
        <v>1776</v>
      </c>
      <c r="D88" s="311" t="s">
        <v>1776</v>
      </c>
      <c r="E88" s="311" t="s">
        <v>1776</v>
      </c>
      <c r="F88" s="299">
        <v>0</v>
      </c>
      <c r="G88" s="299">
        <v>0</v>
      </c>
      <c r="H88" s="299">
        <v>0</v>
      </c>
      <c r="I88" s="299">
        <v>0</v>
      </c>
      <c r="J88" s="299">
        <v>0</v>
      </c>
      <c r="K88" s="299">
        <v>13555.04</v>
      </c>
      <c r="L88" s="299">
        <v>13555</v>
      </c>
      <c r="M88" s="631" t="s">
        <v>1541</v>
      </c>
      <c r="N88" s="302"/>
      <c r="O88" s="665"/>
    </row>
    <row r="89" spans="1:15" x14ac:dyDescent="0.25">
      <c r="A89" s="337">
        <v>5083</v>
      </c>
      <c r="B89" s="234" t="s">
        <v>103</v>
      </c>
      <c r="C89" s="311" t="s">
        <v>1776</v>
      </c>
      <c r="D89" s="311" t="s">
        <v>1776</v>
      </c>
      <c r="E89" s="311" t="s">
        <v>1776</v>
      </c>
      <c r="F89" s="299">
        <v>0</v>
      </c>
      <c r="G89" s="299">
        <v>0</v>
      </c>
      <c r="H89" s="299">
        <v>0</v>
      </c>
      <c r="I89" s="299">
        <v>10.16</v>
      </c>
      <c r="J89" s="299">
        <v>0</v>
      </c>
      <c r="K89" s="299">
        <v>0</v>
      </c>
      <c r="L89" s="317">
        <v>10</v>
      </c>
      <c r="M89" s="631" t="s">
        <v>1541</v>
      </c>
      <c r="N89" s="302"/>
      <c r="O89" s="665"/>
    </row>
    <row r="90" spans="1:15" x14ac:dyDescent="0.25">
      <c r="A90" s="177"/>
      <c r="B90" s="183"/>
      <c r="C90" s="311"/>
      <c r="D90" s="311"/>
      <c r="E90" s="311"/>
      <c r="F90" s="299"/>
      <c r="G90" s="299"/>
      <c r="H90" s="299"/>
      <c r="I90" s="299"/>
      <c r="J90" s="299"/>
      <c r="K90" s="299"/>
      <c r="L90" s="299"/>
      <c r="M90" s="629"/>
      <c r="N90" s="302"/>
      <c r="O90" s="665"/>
    </row>
    <row r="91" spans="1:15" x14ac:dyDescent="0.25">
      <c r="A91" s="639" t="s">
        <v>1</v>
      </c>
      <c r="B91" s="640"/>
      <c r="C91" s="636">
        <f>ROUND(SUM(C47:C89),0)</f>
        <v>72199616</v>
      </c>
      <c r="D91" s="636">
        <f>ROUND(SUM(D47:D89),0)</f>
        <v>7183099</v>
      </c>
      <c r="E91" s="636">
        <f>ROUND(SUM(E47:E89),0)</f>
        <v>788912</v>
      </c>
      <c r="F91" s="637">
        <f>ROUND(SUM(F47:F89),0)</f>
        <v>328936531</v>
      </c>
      <c r="G91" s="637">
        <f>ROUND(SUM(G47:G89),0)</f>
        <v>61341969</v>
      </c>
      <c r="H91" s="637">
        <f>(SUM(H47:H89))</f>
        <v>222653788.40205756</v>
      </c>
      <c r="I91" s="637">
        <f>ROUND(SUM(I47:I89),0)</f>
        <v>182441</v>
      </c>
      <c r="J91" s="637">
        <f>ROUND(SUM(J47:J89),0)</f>
        <v>716988</v>
      </c>
      <c r="K91" s="637">
        <f>ROUND(SUM(K47:K89),0)</f>
        <v>96770909</v>
      </c>
      <c r="L91" s="637">
        <f>ROUND(SUM(L47:L89),0)</f>
        <v>790774254</v>
      </c>
      <c r="M91" s="629">
        <f>ROUND(SUM(M47:M86),0)</f>
        <v>3564</v>
      </c>
      <c r="N91" s="320">
        <f>ROUND(SUM(N47:N86),0)</f>
        <v>26911166</v>
      </c>
      <c r="O91" s="665">
        <f>SUM(O47:O86)</f>
        <v>192</v>
      </c>
    </row>
    <row r="92" spans="1:15" ht="15.75" x14ac:dyDescent="0.25">
      <c r="A92" s="324"/>
      <c r="B92" s="177"/>
      <c r="C92" s="325"/>
      <c r="D92" s="325"/>
      <c r="E92" s="325"/>
      <c r="F92" s="326"/>
      <c r="G92" s="326"/>
      <c r="H92" s="326"/>
      <c r="I92" s="326"/>
      <c r="J92" s="326"/>
      <c r="K92" s="326"/>
      <c r="L92" s="326"/>
      <c r="M92" s="629"/>
      <c r="N92" s="327"/>
      <c r="O92" s="669"/>
    </row>
    <row r="93" spans="1:15" ht="15.75" x14ac:dyDescent="0.25">
      <c r="A93" s="324"/>
      <c r="B93" s="177"/>
      <c r="C93" s="325"/>
      <c r="D93" s="325"/>
      <c r="E93" s="325"/>
      <c r="F93" s="326"/>
      <c r="G93" s="326"/>
      <c r="H93" s="326"/>
      <c r="I93" s="326"/>
      <c r="J93" s="326"/>
      <c r="K93" s="326"/>
      <c r="L93" s="326"/>
      <c r="M93" s="632"/>
      <c r="N93" s="327"/>
      <c r="O93" s="669"/>
    </row>
    <row r="94" spans="1:15" ht="15.75" x14ac:dyDescent="0.25">
      <c r="A94" s="324"/>
      <c r="B94" s="177" t="s">
        <v>84</v>
      </c>
      <c r="C94" s="325"/>
      <c r="D94" s="325"/>
      <c r="E94" s="325"/>
      <c r="F94" s="326"/>
      <c r="G94" s="326"/>
      <c r="H94" s="326"/>
      <c r="I94" s="326"/>
      <c r="J94" s="326"/>
      <c r="K94" s="326"/>
      <c r="L94" s="326"/>
      <c r="M94" s="632"/>
      <c r="N94" s="327"/>
      <c r="O94" s="669"/>
    </row>
    <row r="95" spans="1:15" ht="15.75" x14ac:dyDescent="0.25">
      <c r="A95" s="324"/>
      <c r="B95" s="177"/>
      <c r="C95" s="325"/>
      <c r="D95" s="325"/>
      <c r="E95" s="325"/>
      <c r="F95" s="326"/>
      <c r="G95" s="326"/>
      <c r="H95" s="326"/>
      <c r="I95" s="326"/>
      <c r="J95" s="326"/>
      <c r="K95" s="326"/>
      <c r="L95" s="326"/>
      <c r="M95" s="632"/>
      <c r="N95" s="327"/>
      <c r="O95" s="669"/>
    </row>
    <row r="96" spans="1:15" x14ac:dyDescent="0.25">
      <c r="A96" s="638" t="s">
        <v>85</v>
      </c>
      <c r="B96" s="271"/>
      <c r="C96" s="311"/>
      <c r="D96" s="311"/>
      <c r="E96" s="311"/>
      <c r="F96" s="299"/>
      <c r="G96" s="299"/>
      <c r="H96" s="299"/>
      <c r="I96" s="299"/>
      <c r="J96" s="299"/>
      <c r="K96" s="299"/>
      <c r="L96" s="299"/>
      <c r="M96" s="629"/>
      <c r="N96" s="302"/>
      <c r="O96" s="665"/>
    </row>
    <row r="97" spans="1:15" x14ac:dyDescent="0.25">
      <c r="A97" s="177"/>
      <c r="B97" s="183"/>
      <c r="C97" s="311"/>
      <c r="D97" s="311"/>
      <c r="E97" s="311"/>
      <c r="F97" s="299"/>
      <c r="G97" s="299"/>
      <c r="H97" s="299"/>
      <c r="I97" s="299"/>
      <c r="J97" s="299"/>
      <c r="K97" s="299"/>
      <c r="L97" s="299"/>
      <c r="M97" s="629"/>
      <c r="N97" s="302"/>
      <c r="O97" s="665"/>
    </row>
    <row r="98" spans="1:15" x14ac:dyDescent="0.25">
      <c r="A98" s="268">
        <v>4759</v>
      </c>
      <c r="B98" s="177"/>
      <c r="C98" s="311">
        <v>33310</v>
      </c>
      <c r="D98" s="311">
        <v>0</v>
      </c>
      <c r="E98" s="311">
        <v>0</v>
      </c>
      <c r="F98" s="299">
        <v>0</v>
      </c>
      <c r="G98" s="299">
        <v>2000559.98</v>
      </c>
      <c r="H98" s="299">
        <v>331263.41000000003</v>
      </c>
      <c r="I98" s="299">
        <v>0</v>
      </c>
      <c r="J98" s="299">
        <v>0</v>
      </c>
      <c r="K98" s="299">
        <v>4845.05</v>
      </c>
      <c r="L98" s="317">
        <v>2369978.44</v>
      </c>
      <c r="M98" s="628">
        <v>53.021099999999997</v>
      </c>
      <c r="N98" s="302">
        <v>44699</v>
      </c>
      <c r="O98" s="673">
        <v>1</v>
      </c>
    </row>
    <row r="99" spans="1:15" x14ac:dyDescent="0.25">
      <c r="A99" s="177"/>
      <c r="B99" s="183"/>
      <c r="C99" s="311"/>
      <c r="D99" s="311"/>
      <c r="E99" s="311"/>
      <c r="F99" s="299"/>
      <c r="G99" s="299"/>
      <c r="H99" s="299"/>
      <c r="I99" s="299"/>
      <c r="J99" s="299"/>
      <c r="K99" s="299"/>
      <c r="L99" s="299"/>
      <c r="M99" s="629"/>
      <c r="N99" s="302"/>
      <c r="O99" s="665"/>
    </row>
    <row r="100" spans="1:15" x14ac:dyDescent="0.25">
      <c r="A100" s="639" t="s">
        <v>4</v>
      </c>
      <c r="B100" s="640"/>
      <c r="C100" s="636">
        <v>33310</v>
      </c>
      <c r="D100" s="636">
        <v>0</v>
      </c>
      <c r="E100" s="636">
        <v>0</v>
      </c>
      <c r="F100" s="637">
        <v>0</v>
      </c>
      <c r="G100" s="637">
        <v>2000560</v>
      </c>
      <c r="H100" s="637">
        <v>331263.41000000003</v>
      </c>
      <c r="I100" s="637">
        <v>0</v>
      </c>
      <c r="J100" s="637">
        <v>0</v>
      </c>
      <c r="K100" s="637">
        <v>4845</v>
      </c>
      <c r="L100" s="637">
        <v>2369978</v>
      </c>
      <c r="M100" s="629">
        <v>53.021099999999997</v>
      </c>
      <c r="N100" s="302">
        <v>44699</v>
      </c>
      <c r="O100" s="665">
        <v>1</v>
      </c>
    </row>
    <row r="101" spans="1:15" x14ac:dyDescent="0.25">
      <c r="A101" s="177"/>
      <c r="B101" s="177"/>
      <c r="C101" s="311"/>
      <c r="D101" s="311"/>
      <c r="E101" s="311"/>
      <c r="F101" s="299"/>
      <c r="G101" s="299"/>
      <c r="H101" s="299"/>
      <c r="I101" s="299"/>
      <c r="J101" s="299"/>
      <c r="K101" s="299"/>
      <c r="L101" s="299"/>
      <c r="M101" s="629"/>
      <c r="N101" s="302"/>
      <c r="O101" s="665"/>
    </row>
    <row r="102" spans="1:15" x14ac:dyDescent="0.25">
      <c r="A102" s="638" t="s">
        <v>86</v>
      </c>
      <c r="B102" s="271"/>
      <c r="C102" s="311"/>
      <c r="D102" s="311"/>
      <c r="E102" s="311"/>
      <c r="F102" s="299"/>
      <c r="G102" s="299"/>
      <c r="H102" s="299"/>
      <c r="I102" s="299"/>
      <c r="J102" s="299"/>
      <c r="K102" s="299"/>
      <c r="L102" s="299"/>
      <c r="M102" s="628"/>
      <c r="N102" s="302"/>
      <c r="O102" s="665"/>
    </row>
    <row r="103" spans="1:15" x14ac:dyDescent="0.25">
      <c r="A103" s="177"/>
      <c r="B103" s="183"/>
      <c r="C103" s="311"/>
      <c r="D103" s="311"/>
      <c r="E103" s="311"/>
      <c r="F103" s="299"/>
      <c r="G103" s="299"/>
      <c r="H103" s="299"/>
      <c r="I103" s="299"/>
      <c r="J103" s="299"/>
      <c r="K103" s="299"/>
      <c r="L103" s="299"/>
      <c r="M103" s="628"/>
      <c r="N103" s="302"/>
      <c r="O103" s="665"/>
    </row>
    <row r="104" spans="1:15" x14ac:dyDescent="0.25">
      <c r="A104" s="177">
        <v>4105</v>
      </c>
      <c r="B104" s="177" t="s">
        <v>1584</v>
      </c>
      <c r="C104" s="311">
        <v>15245.786278638458</v>
      </c>
      <c r="D104" s="311">
        <v>536.82821859982096</v>
      </c>
      <c r="E104" s="311">
        <v>510.51826436167937</v>
      </c>
      <c r="F104" s="299">
        <v>9294.347061695511</v>
      </c>
      <c r="G104" s="299">
        <v>186904.04072070625</v>
      </c>
      <c r="H104" s="299">
        <v>75658.478339209454</v>
      </c>
      <c r="I104" s="299"/>
      <c r="J104" s="299"/>
      <c r="K104" s="299">
        <v>730.42803872123568</v>
      </c>
      <c r="L104" s="299">
        <v>288880.42692193243</v>
      </c>
      <c r="M104" s="628">
        <v>2.3711000000000002</v>
      </c>
      <c r="N104" s="302">
        <v>121834</v>
      </c>
      <c r="O104" s="665"/>
    </row>
    <row r="105" spans="1:15" x14ac:dyDescent="0.25">
      <c r="A105" s="268">
        <v>4106</v>
      </c>
      <c r="B105" s="177" t="s">
        <v>49</v>
      </c>
      <c r="C105" s="311">
        <v>202756.44663416146</v>
      </c>
      <c r="D105" s="311">
        <v>0</v>
      </c>
      <c r="E105" s="311">
        <v>0</v>
      </c>
      <c r="F105" s="299">
        <v>350.59793998877973</v>
      </c>
      <c r="G105" s="299">
        <v>1848864.7593689838</v>
      </c>
      <c r="H105" s="299">
        <v>1674859.3732244496</v>
      </c>
      <c r="I105" s="299"/>
      <c r="J105" s="299"/>
      <c r="K105" s="299">
        <v>0</v>
      </c>
      <c r="L105" s="299">
        <v>3726831.1771675833</v>
      </c>
      <c r="M105" s="628">
        <v>20.861599999999999</v>
      </c>
      <c r="N105" s="302">
        <v>178646</v>
      </c>
      <c r="O105" s="673">
        <v>12</v>
      </c>
    </row>
    <row r="106" spans="1:15" x14ac:dyDescent="0.25">
      <c r="A106" s="268">
        <v>4135</v>
      </c>
      <c r="B106" s="177" t="s">
        <v>87</v>
      </c>
      <c r="C106" s="311">
        <v>428120.98519181513</v>
      </c>
      <c r="D106" s="311">
        <v>0</v>
      </c>
      <c r="E106" s="311">
        <v>0</v>
      </c>
      <c r="F106" s="299">
        <v>2207303.8520021108</v>
      </c>
      <c r="G106" s="299">
        <v>577521.57824161695</v>
      </c>
      <c r="H106" s="299">
        <v>1604530.5571570823</v>
      </c>
      <c r="I106" s="299">
        <v>0</v>
      </c>
      <c r="J106" s="299">
        <v>0</v>
      </c>
      <c r="K106" s="299">
        <v>23467.638701891708</v>
      </c>
      <c r="L106" s="299">
        <v>4840944.6112945164</v>
      </c>
      <c r="M106" s="628">
        <v>49.4758</v>
      </c>
      <c r="N106" s="302">
        <v>97845</v>
      </c>
      <c r="O106" s="673">
        <v>1</v>
      </c>
    </row>
    <row r="107" spans="1:15" x14ac:dyDescent="0.25">
      <c r="A107" s="268">
        <v>4731</v>
      </c>
      <c r="B107" s="177"/>
      <c r="C107" s="311">
        <v>0</v>
      </c>
      <c r="D107" s="311">
        <v>0</v>
      </c>
      <c r="E107" s="311">
        <v>0</v>
      </c>
      <c r="F107" s="299">
        <v>0</v>
      </c>
      <c r="G107" s="299">
        <v>112574.29000000001</v>
      </c>
      <c r="H107" s="299">
        <v>40738.639999999999</v>
      </c>
      <c r="I107" s="299">
        <v>0</v>
      </c>
      <c r="J107" s="299">
        <v>0</v>
      </c>
      <c r="K107" s="299">
        <v>0</v>
      </c>
      <c r="L107" s="299">
        <v>153312.93</v>
      </c>
      <c r="M107" s="628">
        <v>6.3408000000000007</v>
      </c>
      <c r="N107" s="302">
        <v>24179</v>
      </c>
      <c r="O107" s="673">
        <v>1</v>
      </c>
    </row>
    <row r="108" spans="1:15" x14ac:dyDescent="0.25">
      <c r="A108" s="268">
        <v>4732</v>
      </c>
      <c r="B108" s="177"/>
      <c r="C108" s="311">
        <v>0</v>
      </c>
      <c r="D108" s="311">
        <v>0</v>
      </c>
      <c r="E108" s="311">
        <v>0</v>
      </c>
      <c r="F108" s="299">
        <v>0</v>
      </c>
      <c r="G108" s="299">
        <v>237244.76</v>
      </c>
      <c r="H108" s="299">
        <v>87312.19</v>
      </c>
      <c r="I108" s="299">
        <v>0</v>
      </c>
      <c r="J108" s="299">
        <v>0</v>
      </c>
      <c r="K108" s="299">
        <v>0</v>
      </c>
      <c r="L108" s="299">
        <v>324556.95</v>
      </c>
      <c r="M108" s="628">
        <v>4.4584999999999999</v>
      </c>
      <c r="N108" s="302">
        <v>72795</v>
      </c>
      <c r="O108" s="673">
        <v>1</v>
      </c>
    </row>
    <row r="109" spans="1:15" x14ac:dyDescent="0.25">
      <c r="A109" s="268">
        <v>4735</v>
      </c>
      <c r="B109" s="177" t="s">
        <v>1692</v>
      </c>
      <c r="C109" s="311">
        <v>47.260340248643239</v>
      </c>
      <c r="D109" s="311">
        <v>0</v>
      </c>
      <c r="E109" s="311">
        <v>0</v>
      </c>
      <c r="F109" s="299">
        <v>4007.7043100727456</v>
      </c>
      <c r="G109" s="299">
        <v>52450.932778568946</v>
      </c>
      <c r="H109" s="299">
        <v>18395.258583965202</v>
      </c>
      <c r="I109" s="299">
        <v>0</v>
      </c>
      <c r="J109" s="299">
        <v>0</v>
      </c>
      <c r="K109" s="299">
        <v>0</v>
      </c>
      <c r="L109" s="299">
        <v>74901.156012855528</v>
      </c>
      <c r="M109" s="628">
        <v>4.4584999999999999</v>
      </c>
      <c r="N109" s="302">
        <v>16800</v>
      </c>
      <c r="O109" s="673">
        <v>1</v>
      </c>
    </row>
    <row r="110" spans="1:15" x14ac:dyDescent="0.25">
      <c r="A110" s="268">
        <v>4750</v>
      </c>
      <c r="B110" s="177" t="s">
        <v>88</v>
      </c>
      <c r="C110" s="311">
        <v>14060673.419393618</v>
      </c>
      <c r="D110" s="311">
        <v>2848.2770962078107</v>
      </c>
      <c r="E110" s="311">
        <v>421783.53875959927</v>
      </c>
      <c r="F110" s="299">
        <v>3903979.9326901464</v>
      </c>
      <c r="G110" s="299">
        <v>88758753.769130126</v>
      </c>
      <c r="H110" s="299">
        <v>50167836.142144412</v>
      </c>
      <c r="I110" s="299"/>
      <c r="J110" s="299"/>
      <c r="K110" s="299">
        <v>1837204.0470814519</v>
      </c>
      <c r="L110" s="299">
        <v>159153079.12629554</v>
      </c>
      <c r="M110" s="628">
        <v>1640.72165</v>
      </c>
      <c r="N110" s="302">
        <v>97002</v>
      </c>
      <c r="O110" s="673">
        <v>105</v>
      </c>
    </row>
    <row r="111" spans="1:15" x14ac:dyDescent="0.25">
      <c r="A111" s="268">
        <v>4750</v>
      </c>
      <c r="B111" s="177" t="s">
        <v>89</v>
      </c>
      <c r="C111" s="311">
        <v>119254.91024163617</v>
      </c>
      <c r="D111" s="311">
        <v>24.157522141369757</v>
      </c>
      <c r="E111" s="311">
        <v>3577.3363448437817</v>
      </c>
      <c r="F111" s="299"/>
      <c r="G111" s="299"/>
      <c r="H111" s="299"/>
      <c r="I111" s="299">
        <v>2929262.7</v>
      </c>
      <c r="J111" s="299">
        <v>13306603.300000001</v>
      </c>
      <c r="K111" s="299">
        <v>15582.155789784212</v>
      </c>
      <c r="L111" s="299">
        <v>16374304.559898406</v>
      </c>
      <c r="M111" s="633">
        <v>13.915700000000243</v>
      </c>
      <c r="N111" s="302">
        <v>1176678</v>
      </c>
      <c r="O111" s="673"/>
    </row>
    <row r="112" spans="1:15" x14ac:dyDescent="0.25">
      <c r="A112" s="268">
        <v>4750</v>
      </c>
      <c r="B112" s="177" t="s">
        <v>1798</v>
      </c>
      <c r="C112" s="311"/>
      <c r="D112" s="311"/>
      <c r="E112" s="311"/>
      <c r="F112" s="299"/>
      <c r="G112" s="299"/>
      <c r="H112" s="299"/>
      <c r="I112" s="299"/>
      <c r="J112" s="299"/>
      <c r="K112" s="299"/>
      <c r="L112" s="299" t="s">
        <v>1799</v>
      </c>
      <c r="M112" s="628">
        <v>6.0187499999999998</v>
      </c>
      <c r="N112" s="302"/>
      <c r="O112" s="673"/>
    </row>
    <row r="113" spans="1:15" x14ac:dyDescent="0.25">
      <c r="A113" s="268">
        <v>4750</v>
      </c>
      <c r="B113" s="177" t="s">
        <v>1800</v>
      </c>
      <c r="C113" s="311"/>
      <c r="D113" s="311"/>
      <c r="E113" s="311"/>
      <c r="F113" s="299"/>
      <c r="G113" s="299"/>
      <c r="H113" s="299"/>
      <c r="I113" s="299"/>
      <c r="J113" s="299"/>
      <c r="K113" s="299"/>
      <c r="L113" s="299" t="s">
        <v>1799</v>
      </c>
      <c r="M113" s="628">
        <v>0.12</v>
      </c>
      <c r="N113" s="302"/>
      <c r="O113" s="673"/>
    </row>
    <row r="114" spans="1:15" x14ac:dyDescent="0.25">
      <c r="A114" s="268">
        <v>4781</v>
      </c>
      <c r="B114" s="177"/>
      <c r="C114" s="311">
        <v>1277.33</v>
      </c>
      <c r="D114" s="311">
        <v>0</v>
      </c>
      <c r="E114" s="311">
        <v>0</v>
      </c>
      <c r="F114" s="299">
        <v>98306.880000000005</v>
      </c>
      <c r="G114" s="299">
        <v>43204.47</v>
      </c>
      <c r="H114" s="299">
        <v>94967.69</v>
      </c>
      <c r="I114" s="299">
        <v>0</v>
      </c>
      <c r="J114" s="299">
        <v>0</v>
      </c>
      <c r="K114" s="299">
        <v>1376.41</v>
      </c>
      <c r="L114" s="299">
        <v>239132.78</v>
      </c>
      <c r="M114" s="628">
        <v>29.019699999999997</v>
      </c>
      <c r="N114" s="302">
        <v>8240</v>
      </c>
      <c r="O114" s="673">
        <v>1</v>
      </c>
    </row>
    <row r="115" spans="1:15" x14ac:dyDescent="0.25">
      <c r="A115" s="268">
        <v>4782</v>
      </c>
      <c r="B115" s="177"/>
      <c r="C115" s="311">
        <v>165196.31</v>
      </c>
      <c r="D115" s="311">
        <v>0</v>
      </c>
      <c r="E115" s="311">
        <v>0</v>
      </c>
      <c r="F115" s="299">
        <v>327794.67</v>
      </c>
      <c r="G115" s="299">
        <v>91897.83</v>
      </c>
      <c r="H115" s="299">
        <v>580044.74</v>
      </c>
      <c r="I115" s="299">
        <v>0</v>
      </c>
      <c r="J115" s="299">
        <v>0</v>
      </c>
      <c r="K115" s="299">
        <v>21669.13</v>
      </c>
      <c r="L115" s="317">
        <v>1186602.6799999997</v>
      </c>
      <c r="M115" s="628">
        <v>100.80329999999999</v>
      </c>
      <c r="N115" s="302">
        <v>11771</v>
      </c>
      <c r="O115" s="673">
        <v>1</v>
      </c>
    </row>
    <row r="116" spans="1:15" x14ac:dyDescent="0.25">
      <c r="A116" s="177" t="s">
        <v>1496</v>
      </c>
      <c r="B116" s="183"/>
      <c r="C116" s="311"/>
      <c r="D116" s="311"/>
      <c r="E116" s="311"/>
      <c r="F116" s="299"/>
      <c r="G116" s="299"/>
      <c r="H116" s="299"/>
      <c r="I116" s="299"/>
      <c r="J116" s="299"/>
      <c r="K116" s="299"/>
      <c r="L116" s="299"/>
      <c r="M116" s="629"/>
      <c r="N116" s="302"/>
      <c r="O116" s="665"/>
    </row>
    <row r="117" spans="1:15" x14ac:dyDescent="0.25">
      <c r="A117" s="639" t="s">
        <v>19</v>
      </c>
      <c r="B117" s="640"/>
      <c r="C117" s="636">
        <f>ROUND(SUM(C104:C115),0)</f>
        <v>14992572</v>
      </c>
      <c r="D117" s="636">
        <f>ROUND(SUM(D104:D115),0)</f>
        <v>3409</v>
      </c>
      <c r="E117" s="636">
        <f>ROUND(SUM(E104:E115),0)</f>
        <v>425871</v>
      </c>
      <c r="F117" s="637">
        <f>ROUND(SUM(F104:F115),0)</f>
        <v>6551038</v>
      </c>
      <c r="G117" s="637">
        <f>ROUND(SUM(G104:G115),0)</f>
        <v>91909416</v>
      </c>
      <c r="H117" s="637">
        <f>(SUM(H104:H115))</f>
        <v>54344343.069449119</v>
      </c>
      <c r="I117" s="637">
        <f>ROUND(SUM(I104:I115),0)</f>
        <v>2929263</v>
      </c>
      <c r="J117" s="637">
        <f>ROUND(SUM(J104:J115),0)</f>
        <v>13306603</v>
      </c>
      <c r="K117" s="637">
        <f>ROUND(SUM(K104:K115),0)</f>
        <v>1900030</v>
      </c>
      <c r="L117" s="637">
        <f>ROUND(SUM(L104:L115),0)</f>
        <v>186362546</v>
      </c>
      <c r="M117" s="629">
        <f>SUM(M104:M115)</f>
        <v>1878.5654000000002</v>
      </c>
      <c r="N117" s="302">
        <f>ROUND(L117/M117,0)</f>
        <v>99205</v>
      </c>
      <c r="O117" s="665">
        <f>SUM(O104:O115)</f>
        <v>123</v>
      </c>
    </row>
    <row r="118" spans="1:15" x14ac:dyDescent="0.25">
      <c r="A118" s="177"/>
      <c r="B118" s="271"/>
      <c r="C118" s="320"/>
      <c r="D118" s="320"/>
      <c r="E118" s="320"/>
      <c r="F118" s="317"/>
      <c r="G118" s="317"/>
      <c r="H118" s="317"/>
      <c r="I118" s="317"/>
      <c r="J118" s="317"/>
      <c r="K118" s="317"/>
      <c r="L118" s="317"/>
      <c r="M118" s="629"/>
      <c r="N118" s="302"/>
      <c r="O118" s="665"/>
    </row>
    <row r="119" spans="1:15" x14ac:dyDescent="0.25">
      <c r="A119" s="638" t="s">
        <v>90</v>
      </c>
      <c r="B119" s="271"/>
      <c r="C119" s="311"/>
      <c r="D119" s="311"/>
      <c r="E119" s="311"/>
      <c r="F119" s="299"/>
      <c r="G119" s="299"/>
      <c r="H119" s="299"/>
      <c r="I119" s="299"/>
      <c r="J119" s="299"/>
      <c r="K119" s="299"/>
      <c r="L119" s="299"/>
      <c r="M119" s="628"/>
      <c r="N119" s="302"/>
      <c r="O119" s="665"/>
    </row>
    <row r="120" spans="1:15" x14ac:dyDescent="0.25">
      <c r="A120" s="177"/>
      <c r="B120" s="177"/>
      <c r="C120" s="311"/>
      <c r="D120" s="311"/>
      <c r="E120" s="311"/>
      <c r="F120" s="299"/>
      <c r="G120" s="299"/>
      <c r="H120" s="299"/>
      <c r="I120" s="299"/>
      <c r="J120" s="299"/>
      <c r="K120" s="299"/>
      <c r="L120" s="299"/>
      <c r="M120" s="628"/>
      <c r="N120" s="302"/>
      <c r="O120" s="665"/>
    </row>
    <row r="121" spans="1:15" x14ac:dyDescent="0.25">
      <c r="A121" s="268">
        <v>4105</v>
      </c>
      <c r="B121" s="177" t="s">
        <v>1584</v>
      </c>
      <c r="C121" s="311">
        <v>29897030.615300942</v>
      </c>
      <c r="D121" s="311">
        <v>1052721.6762263076</v>
      </c>
      <c r="E121" s="311">
        <v>1001127.7805118562</v>
      </c>
      <c r="F121" s="299">
        <v>18226241.242938302</v>
      </c>
      <c r="G121" s="299">
        <v>366519359.86927933</v>
      </c>
      <c r="H121" s="299">
        <v>148366493.00166076</v>
      </c>
      <c r="I121" s="299"/>
      <c r="J121" s="299"/>
      <c r="K121" s="299">
        <v>1432371.4787029827</v>
      </c>
      <c r="L121" s="299">
        <v>566495345.66462052</v>
      </c>
      <c r="M121" s="628">
        <v>4649.7339000000002</v>
      </c>
      <c r="N121" s="302">
        <v>121834</v>
      </c>
      <c r="O121" s="673">
        <v>800</v>
      </c>
    </row>
    <row r="122" spans="1:15" x14ac:dyDescent="0.25">
      <c r="A122" s="268">
        <v>4105</v>
      </c>
      <c r="B122" s="177" t="s">
        <v>1585</v>
      </c>
      <c r="C122" s="311">
        <v>2078120.0718496942</v>
      </c>
      <c r="D122" s="311">
        <v>73173.890530704244</v>
      </c>
      <c r="E122" s="311">
        <v>69587.637713534888</v>
      </c>
      <c r="F122" s="299"/>
      <c r="G122" s="299"/>
      <c r="H122" s="299"/>
      <c r="I122" s="299">
        <v>39832966.92051816</v>
      </c>
      <c r="J122" s="299">
        <v>161607375.37858102</v>
      </c>
      <c r="K122" s="299">
        <v>99563.062249877286</v>
      </c>
      <c r="L122" s="299">
        <v>203760786.96144298</v>
      </c>
      <c r="M122" s="628">
        <v>323.19950000000006</v>
      </c>
      <c r="N122" s="302">
        <v>630449</v>
      </c>
      <c r="O122" s="673"/>
    </row>
    <row r="123" spans="1:15" x14ac:dyDescent="0.25">
      <c r="A123" s="268">
        <v>4105</v>
      </c>
      <c r="B123" s="177" t="s">
        <v>1801</v>
      </c>
      <c r="C123" s="311">
        <v>12198.686570719445</v>
      </c>
      <c r="D123" s="311">
        <v>429.53502438850325</v>
      </c>
      <c r="E123" s="311">
        <v>408.48351024713344</v>
      </c>
      <c r="F123" s="299"/>
      <c r="G123" s="299"/>
      <c r="H123" s="299"/>
      <c r="I123" s="299">
        <v>233821.84948184338</v>
      </c>
      <c r="J123" s="299">
        <v>948644.76141901151</v>
      </c>
      <c r="K123" s="299">
        <v>584.44100841884699</v>
      </c>
      <c r="L123" s="299">
        <v>1196087.7570146287</v>
      </c>
      <c r="M123" s="628">
        <v>1.8972</v>
      </c>
      <c r="N123" s="302"/>
      <c r="O123" s="673"/>
    </row>
    <row r="124" spans="1:15" x14ac:dyDescent="0.25">
      <c r="A124" s="268">
        <v>4105</v>
      </c>
      <c r="B124" s="177" t="s">
        <v>1802</v>
      </c>
      <c r="C124" s="311"/>
      <c r="D124" s="311"/>
      <c r="E124" s="311"/>
      <c r="F124" s="299"/>
      <c r="G124" s="299"/>
      <c r="H124" s="299"/>
      <c r="I124" s="299"/>
      <c r="J124" s="299"/>
      <c r="K124" s="299"/>
      <c r="L124" s="627" t="s">
        <v>1799</v>
      </c>
      <c r="M124" s="628">
        <v>10.8</v>
      </c>
      <c r="N124" s="302"/>
      <c r="O124" s="673"/>
    </row>
    <row r="125" spans="1:15" x14ac:dyDescent="0.25">
      <c r="A125" s="268">
        <v>4105</v>
      </c>
      <c r="B125" s="177" t="s">
        <v>1803</v>
      </c>
      <c r="C125" s="311"/>
      <c r="D125" s="311"/>
      <c r="E125" s="311"/>
      <c r="F125" s="299"/>
      <c r="G125" s="299"/>
      <c r="H125" s="299"/>
      <c r="I125" s="299"/>
      <c r="J125" s="299"/>
      <c r="K125" s="299"/>
      <c r="L125" s="627" t="s">
        <v>1799</v>
      </c>
      <c r="M125" s="628">
        <v>0.76719999999999999</v>
      </c>
      <c r="N125" s="302"/>
      <c r="O125" s="673"/>
    </row>
    <row r="126" spans="1:15" x14ac:dyDescent="0.25">
      <c r="A126" s="268">
        <v>4105</v>
      </c>
      <c r="B126" s="177" t="s">
        <v>1804</v>
      </c>
      <c r="C126" s="311"/>
      <c r="D126" s="311"/>
      <c r="E126" s="311"/>
      <c r="F126" s="299"/>
      <c r="G126" s="299"/>
      <c r="H126" s="299"/>
      <c r="I126" s="299"/>
      <c r="J126" s="299"/>
      <c r="K126" s="299"/>
      <c r="L126" s="627" t="s">
        <v>1799</v>
      </c>
      <c r="M126" s="628">
        <v>6.2</v>
      </c>
      <c r="N126" s="302"/>
      <c r="O126" s="673"/>
    </row>
    <row r="127" spans="1:15" x14ac:dyDescent="0.25">
      <c r="A127" s="268">
        <v>4105</v>
      </c>
      <c r="B127" s="177" t="s">
        <v>1805</v>
      </c>
      <c r="C127" s="311"/>
      <c r="D127" s="311"/>
      <c r="E127" s="311"/>
      <c r="F127" s="299"/>
      <c r="G127" s="299"/>
      <c r="H127" s="299"/>
      <c r="I127" s="299"/>
      <c r="J127" s="299"/>
      <c r="K127" s="299"/>
      <c r="L127" s="627" t="s">
        <v>1799</v>
      </c>
      <c r="M127" s="628">
        <v>0.64810000000000001</v>
      </c>
      <c r="N127" s="302"/>
      <c r="O127" s="673"/>
    </row>
    <row r="128" spans="1:15" x14ac:dyDescent="0.25">
      <c r="A128" s="268">
        <v>4106</v>
      </c>
      <c r="B128" s="177" t="s">
        <v>88</v>
      </c>
      <c r="C128" s="311">
        <v>304843.19398389698</v>
      </c>
      <c r="D128" s="311">
        <v>0</v>
      </c>
      <c r="E128" s="311">
        <v>0</v>
      </c>
      <c r="F128" s="299">
        <v>527.12206001122024</v>
      </c>
      <c r="G128" s="299">
        <v>2779757.9206310157</v>
      </c>
      <c r="H128" s="299">
        <v>2518141.7867755503</v>
      </c>
      <c r="I128" s="299"/>
      <c r="J128" s="299"/>
      <c r="K128" s="299">
        <v>0</v>
      </c>
      <c r="L128" s="299">
        <v>5603270.0234504743</v>
      </c>
      <c r="M128" s="628">
        <v>31.365299999999998</v>
      </c>
      <c r="N128" s="302">
        <v>178646</v>
      </c>
      <c r="O128" s="673">
        <v>41</v>
      </c>
    </row>
    <row r="129" spans="1:15" x14ac:dyDescent="0.25">
      <c r="A129" s="268">
        <v>4106</v>
      </c>
      <c r="B129" s="177" t="s">
        <v>89</v>
      </c>
      <c r="C129" s="311">
        <v>55521.459381941509</v>
      </c>
      <c r="D129" s="311">
        <v>0</v>
      </c>
      <c r="E129" s="311">
        <v>0</v>
      </c>
      <c r="F129" s="299"/>
      <c r="G129" s="299"/>
      <c r="H129" s="299"/>
      <c r="I129" s="299">
        <v>1292809.1600000001</v>
      </c>
      <c r="J129" s="299">
        <v>3036715.91</v>
      </c>
      <c r="K129" s="299">
        <v>0</v>
      </c>
      <c r="L129" s="299">
        <v>4385046.529381942</v>
      </c>
      <c r="M129" s="628">
        <v>5.7126000000000001</v>
      </c>
      <c r="N129" s="302">
        <v>767610</v>
      </c>
      <c r="O129" s="673"/>
    </row>
    <row r="130" spans="1:15" x14ac:dyDescent="0.25">
      <c r="A130" s="268">
        <v>4118</v>
      </c>
      <c r="B130" s="177" t="s">
        <v>1692</v>
      </c>
      <c r="C130" s="311">
        <v>138881.54592986332</v>
      </c>
      <c r="D130" s="311">
        <v>3300.7958750641924</v>
      </c>
      <c r="E130" s="311">
        <v>55.485212996480314</v>
      </c>
      <c r="F130" s="299">
        <v>439579.37029287789</v>
      </c>
      <c r="G130" s="299">
        <v>6021.4304765647494</v>
      </c>
      <c r="H130" s="299">
        <v>355935.42078535003</v>
      </c>
      <c r="I130" s="299"/>
      <c r="J130" s="299"/>
      <c r="K130" s="299">
        <v>4634.6804799779538</v>
      </c>
      <c r="L130" s="299">
        <v>948408.72905269463</v>
      </c>
      <c r="M130" s="628">
        <v>3.9204999999999997</v>
      </c>
      <c r="N130" s="302">
        <v>241910</v>
      </c>
      <c r="O130" s="673">
        <v>2</v>
      </c>
    </row>
    <row r="131" spans="1:15" x14ac:dyDescent="0.25">
      <c r="A131" s="268">
        <v>4124</v>
      </c>
      <c r="B131" s="177"/>
      <c r="C131" s="311">
        <v>485.44</v>
      </c>
      <c r="D131" s="311">
        <v>0</v>
      </c>
      <c r="E131" s="311">
        <v>0</v>
      </c>
      <c r="F131" s="299">
        <v>48889.82</v>
      </c>
      <c r="G131" s="299">
        <v>312250.51</v>
      </c>
      <c r="H131" s="299">
        <v>202021.82</v>
      </c>
      <c r="I131" s="299">
        <v>1342.72</v>
      </c>
      <c r="J131" s="299">
        <v>68591.12</v>
      </c>
      <c r="K131" s="299">
        <v>0</v>
      </c>
      <c r="L131" s="299">
        <v>633581.43000000005</v>
      </c>
      <c r="M131" s="634">
        <v>0</v>
      </c>
      <c r="N131" s="302">
        <v>0</v>
      </c>
      <c r="O131" s="673">
        <v>0</v>
      </c>
    </row>
    <row r="132" spans="1:15" x14ac:dyDescent="0.25">
      <c r="A132" s="268">
        <v>4128</v>
      </c>
      <c r="B132" s="177" t="s">
        <v>91</v>
      </c>
      <c r="C132" s="311">
        <v>0</v>
      </c>
      <c r="D132" s="311">
        <v>0</v>
      </c>
      <c r="E132" s="311">
        <v>0</v>
      </c>
      <c r="F132" s="299">
        <v>0</v>
      </c>
      <c r="G132" s="299">
        <v>1240.3900000000001</v>
      </c>
      <c r="H132" s="299">
        <v>1276.8900000000001</v>
      </c>
      <c r="I132" s="299">
        <v>0</v>
      </c>
      <c r="J132" s="299">
        <v>0</v>
      </c>
      <c r="K132" s="299">
        <v>0</v>
      </c>
      <c r="L132" s="299">
        <v>2517.2800000000002</v>
      </c>
      <c r="M132" s="634">
        <v>0</v>
      </c>
      <c r="N132" s="302">
        <v>0</v>
      </c>
      <c r="O132" s="673">
        <v>0</v>
      </c>
    </row>
    <row r="133" spans="1:15" x14ac:dyDescent="0.25">
      <c r="A133" s="268">
        <v>4129</v>
      </c>
      <c r="B133" s="177"/>
      <c r="C133" s="311">
        <v>38460.07</v>
      </c>
      <c r="D133" s="311">
        <v>0</v>
      </c>
      <c r="E133" s="311">
        <v>0</v>
      </c>
      <c r="F133" s="299">
        <v>345086.64</v>
      </c>
      <c r="G133" s="299">
        <v>1085413.8</v>
      </c>
      <c r="H133" s="299">
        <v>744432.25</v>
      </c>
      <c r="I133" s="299">
        <v>0</v>
      </c>
      <c r="J133" s="299">
        <v>0</v>
      </c>
      <c r="K133" s="299">
        <v>0</v>
      </c>
      <c r="L133" s="299">
        <v>2213392.7599999998</v>
      </c>
      <c r="M133" s="628">
        <v>88.583299999999994</v>
      </c>
      <c r="N133" s="302">
        <v>24987</v>
      </c>
      <c r="O133" s="673">
        <v>2</v>
      </c>
    </row>
    <row r="134" spans="1:15" x14ac:dyDescent="0.25">
      <c r="A134" s="268">
        <v>4132</v>
      </c>
      <c r="B134" s="177"/>
      <c r="C134" s="311">
        <v>3146.16</v>
      </c>
      <c r="D134" s="311">
        <v>0</v>
      </c>
      <c r="E134" s="311">
        <v>0</v>
      </c>
      <c r="F134" s="299">
        <v>60500.200000000004</v>
      </c>
      <c r="G134" s="299">
        <v>0</v>
      </c>
      <c r="H134" s="299">
        <v>37257.47</v>
      </c>
      <c r="I134" s="299">
        <v>0</v>
      </c>
      <c r="J134" s="299">
        <v>0</v>
      </c>
      <c r="K134" s="299">
        <v>40795.49</v>
      </c>
      <c r="L134" s="299">
        <v>141699.32</v>
      </c>
      <c r="M134" s="628">
        <v>3.7956000000000003</v>
      </c>
      <c r="N134" s="302">
        <v>37333</v>
      </c>
      <c r="O134" s="673">
        <v>2</v>
      </c>
    </row>
    <row r="135" spans="1:15" x14ac:dyDescent="0.25">
      <c r="A135" s="268">
        <v>4133</v>
      </c>
      <c r="B135" s="177"/>
      <c r="C135" s="311">
        <v>53165.17</v>
      </c>
      <c r="D135" s="311">
        <v>0</v>
      </c>
      <c r="E135" s="311">
        <v>0</v>
      </c>
      <c r="F135" s="299">
        <v>7515.75</v>
      </c>
      <c r="G135" s="299">
        <v>3257095.54</v>
      </c>
      <c r="H135" s="299">
        <v>340110.97000000003</v>
      </c>
      <c r="I135" s="299">
        <v>0</v>
      </c>
      <c r="J135" s="299">
        <v>0</v>
      </c>
      <c r="K135" s="299">
        <v>11454.69</v>
      </c>
      <c r="L135" s="299">
        <v>3669342.12</v>
      </c>
      <c r="M135" s="628">
        <v>37.867599999999996</v>
      </c>
      <c r="N135" s="302">
        <v>96899</v>
      </c>
      <c r="O135" s="673">
        <v>1</v>
      </c>
    </row>
    <row r="136" spans="1:15" x14ac:dyDescent="0.25">
      <c r="A136" s="268">
        <v>4139</v>
      </c>
      <c r="B136" s="177"/>
      <c r="C136" s="311">
        <v>516.81000000000006</v>
      </c>
      <c r="D136" s="311">
        <v>0</v>
      </c>
      <c r="E136" s="311">
        <v>0</v>
      </c>
      <c r="F136" s="299">
        <v>0</v>
      </c>
      <c r="G136" s="299">
        <v>130596.29000000001</v>
      </c>
      <c r="H136" s="299">
        <v>96083.08</v>
      </c>
      <c r="I136" s="299">
        <v>0</v>
      </c>
      <c r="J136" s="299">
        <v>0</v>
      </c>
      <c r="K136" s="299">
        <v>0</v>
      </c>
      <c r="L136" s="299">
        <v>227196.18</v>
      </c>
      <c r="M136" s="628">
        <v>2.3069000000000002</v>
      </c>
      <c r="N136" s="302">
        <v>98485</v>
      </c>
      <c r="O136" s="673">
        <v>1</v>
      </c>
    </row>
    <row r="137" spans="1:15" x14ac:dyDescent="0.25">
      <c r="A137" s="268">
        <v>4142</v>
      </c>
      <c r="B137" s="177"/>
      <c r="C137" s="311">
        <v>25409.4</v>
      </c>
      <c r="D137" s="311">
        <v>0</v>
      </c>
      <c r="E137" s="311">
        <v>0</v>
      </c>
      <c r="F137" s="299">
        <v>0</v>
      </c>
      <c r="G137" s="299">
        <v>2453840.39</v>
      </c>
      <c r="H137" s="299">
        <v>85829.66</v>
      </c>
      <c r="I137" s="299">
        <v>0</v>
      </c>
      <c r="J137" s="299">
        <v>0</v>
      </c>
      <c r="K137" s="299">
        <v>0</v>
      </c>
      <c r="L137" s="299">
        <v>2565079.4500000002</v>
      </c>
      <c r="M137" s="628">
        <v>31.899699999999999</v>
      </c>
      <c r="N137" s="302">
        <v>80411</v>
      </c>
      <c r="O137" s="673">
        <v>1</v>
      </c>
    </row>
    <row r="138" spans="1:15" x14ac:dyDescent="0.25">
      <c r="A138" s="268">
        <v>4149</v>
      </c>
      <c r="B138" s="177"/>
      <c r="C138" s="311">
        <v>232</v>
      </c>
      <c r="D138" s="311">
        <v>0</v>
      </c>
      <c r="E138" s="311">
        <v>0</v>
      </c>
      <c r="F138" s="299">
        <v>0</v>
      </c>
      <c r="G138" s="299">
        <v>60362.97</v>
      </c>
      <c r="H138" s="299">
        <v>26752.440000000002</v>
      </c>
      <c r="I138" s="299">
        <v>0</v>
      </c>
      <c r="J138" s="299">
        <v>0</v>
      </c>
      <c r="K138" s="299">
        <v>1092.9100000000001</v>
      </c>
      <c r="L138" s="299">
        <v>88440.320000000007</v>
      </c>
      <c r="M138" s="628">
        <v>3.9923999999999999</v>
      </c>
      <c r="N138" s="302">
        <v>22152</v>
      </c>
      <c r="O138" s="673">
        <v>1</v>
      </c>
    </row>
    <row r="139" spans="1:15" x14ac:dyDescent="0.25">
      <c r="A139" s="268">
        <v>4705</v>
      </c>
      <c r="B139" s="177" t="s">
        <v>1584</v>
      </c>
      <c r="C139" s="311">
        <v>242709.56005883732</v>
      </c>
      <c r="D139" s="311">
        <v>3288.7334174950147</v>
      </c>
      <c r="E139" s="311">
        <v>0</v>
      </c>
      <c r="F139" s="299">
        <v>0</v>
      </c>
      <c r="G139" s="299">
        <v>2992713.17</v>
      </c>
      <c r="H139" s="299">
        <v>1329196.82</v>
      </c>
      <c r="I139" s="299">
        <v>0</v>
      </c>
      <c r="J139" s="299">
        <v>0</v>
      </c>
      <c r="K139" s="299">
        <v>35774.673227107647</v>
      </c>
      <c r="L139" s="299">
        <v>4603682.9567034403</v>
      </c>
      <c r="M139" s="628">
        <v>105.29199999999999</v>
      </c>
      <c r="N139" s="302">
        <v>43723</v>
      </c>
      <c r="O139" s="673">
        <v>10</v>
      </c>
    </row>
    <row r="140" spans="1:15" x14ac:dyDescent="0.25">
      <c r="A140" s="268">
        <v>4705</v>
      </c>
      <c r="B140" s="177" t="s">
        <v>1585</v>
      </c>
      <c r="C140" s="311">
        <v>505.27994116264443</v>
      </c>
      <c r="D140" s="311">
        <v>6.8465825049852533</v>
      </c>
      <c r="E140" s="311">
        <v>0</v>
      </c>
      <c r="F140" s="299"/>
      <c r="G140" s="299"/>
      <c r="H140" s="299"/>
      <c r="I140" s="299">
        <v>0</v>
      </c>
      <c r="J140" s="299">
        <v>0</v>
      </c>
      <c r="K140" s="299">
        <v>74.476772892356465</v>
      </c>
      <c r="L140" s="299">
        <v>586.60329655998623</v>
      </c>
      <c r="M140" s="628">
        <v>0.21920000000000001</v>
      </c>
      <c r="N140" s="302">
        <v>2676</v>
      </c>
      <c r="O140" s="673"/>
    </row>
    <row r="141" spans="1:15" x14ac:dyDescent="0.25">
      <c r="A141" s="268">
        <v>4730</v>
      </c>
      <c r="B141" s="177"/>
      <c r="C141" s="311">
        <v>10584.86</v>
      </c>
      <c r="D141" s="311">
        <v>0</v>
      </c>
      <c r="E141" s="311">
        <v>0</v>
      </c>
      <c r="F141" s="299">
        <v>0</v>
      </c>
      <c r="G141" s="299">
        <v>362698.87</v>
      </c>
      <c r="H141" s="299">
        <v>298966.5</v>
      </c>
      <c r="I141" s="299">
        <v>0</v>
      </c>
      <c r="J141" s="299">
        <v>0</v>
      </c>
      <c r="K141" s="299">
        <v>0</v>
      </c>
      <c r="L141" s="299">
        <v>672250.23</v>
      </c>
      <c r="M141" s="628">
        <v>7.2159000000000004</v>
      </c>
      <c r="N141" s="302">
        <v>93162</v>
      </c>
      <c r="O141" s="673">
        <v>1</v>
      </c>
    </row>
    <row r="142" spans="1:15" x14ac:dyDescent="0.25">
      <c r="A142" s="268">
        <v>4735</v>
      </c>
      <c r="B142" s="177" t="s">
        <v>92</v>
      </c>
      <c r="C142" s="311">
        <v>90.439659751356771</v>
      </c>
      <c r="D142" s="311">
        <v>0</v>
      </c>
      <c r="E142" s="311">
        <v>0</v>
      </c>
      <c r="F142" s="299">
        <v>7669.3356899272549</v>
      </c>
      <c r="G142" s="299">
        <v>100372.62722143103</v>
      </c>
      <c r="H142" s="299">
        <v>35202.051416034788</v>
      </c>
      <c r="I142" s="299">
        <v>0</v>
      </c>
      <c r="J142" s="299">
        <v>0</v>
      </c>
      <c r="K142" s="299">
        <v>0</v>
      </c>
      <c r="L142" s="299">
        <v>143334.45398714443</v>
      </c>
      <c r="M142" s="628">
        <v>8.532</v>
      </c>
      <c r="N142" s="302">
        <v>16800</v>
      </c>
      <c r="O142" s="673">
        <v>2</v>
      </c>
    </row>
    <row r="143" spans="1:15" x14ac:dyDescent="0.25">
      <c r="A143" s="268">
        <v>4750</v>
      </c>
      <c r="B143" s="177" t="s">
        <v>93</v>
      </c>
      <c r="C143" s="311">
        <v>145506.81036474666</v>
      </c>
      <c r="D143" s="311">
        <v>29.475381650819575</v>
      </c>
      <c r="E143" s="311">
        <v>4364.8248955569252</v>
      </c>
      <c r="F143" s="299">
        <v>40400.317309853257</v>
      </c>
      <c r="G143" s="299">
        <v>918519.5308698829</v>
      </c>
      <c r="H143" s="299">
        <v>519161.60785558593</v>
      </c>
      <c r="I143" s="299"/>
      <c r="J143" s="299"/>
      <c r="K143" s="299">
        <v>19012.297128764021</v>
      </c>
      <c r="L143" s="317">
        <v>1646994.8638060405</v>
      </c>
      <c r="M143" s="628">
        <v>16.978999999999999</v>
      </c>
      <c r="N143" s="302">
        <v>97002</v>
      </c>
      <c r="O143" s="673">
        <v>3</v>
      </c>
    </row>
    <row r="144" spans="1:15" x14ac:dyDescent="0.25">
      <c r="A144" s="217"/>
      <c r="B144" s="217"/>
      <c r="C144" s="217"/>
      <c r="D144" s="217"/>
      <c r="E144" s="217"/>
      <c r="F144" s="328"/>
      <c r="G144" s="328"/>
      <c r="H144" s="328"/>
      <c r="I144" s="328"/>
      <c r="J144" s="328"/>
      <c r="K144" s="328"/>
      <c r="L144" s="328"/>
      <c r="M144" s="630"/>
      <c r="N144" s="329"/>
      <c r="O144" s="668"/>
    </row>
    <row r="145" spans="1:15" x14ac:dyDescent="0.25">
      <c r="A145" s="639" t="s">
        <v>94</v>
      </c>
      <c r="B145" s="639"/>
      <c r="C145" s="636">
        <f>ROUND(SUM(C121:C144),0)</f>
        <v>33007408</v>
      </c>
      <c r="D145" s="636">
        <f>ROUND(SUM(D121:D144),0)</f>
        <v>1132951</v>
      </c>
      <c r="E145" s="636">
        <f>ROUND(SUM(E121:E144),0)</f>
        <v>1075544</v>
      </c>
      <c r="F145" s="637">
        <f>ROUND(SUM(F121:F144),0)</f>
        <v>19176410</v>
      </c>
      <c r="G145" s="637">
        <f>ROUND(SUM(G121:G144),0)</f>
        <v>380980243</v>
      </c>
      <c r="H145" s="637">
        <f>(SUM(H121:H144))</f>
        <v>154956861.76849326</v>
      </c>
      <c r="I145" s="637">
        <f>ROUND(SUM(I121:I144),0)</f>
        <v>41360941</v>
      </c>
      <c r="J145" s="637">
        <f>ROUND(SUM(J121:J144),0)</f>
        <v>165661327</v>
      </c>
      <c r="K145" s="637">
        <f>ROUND(SUM(K121:K144),0)</f>
        <v>1645358</v>
      </c>
      <c r="L145" s="637">
        <f>ROUND(SUM(L121:L144),0)</f>
        <v>798997044</v>
      </c>
      <c r="M145" s="629">
        <f>SUM(M121:M143)</f>
        <v>5340.9279000000015</v>
      </c>
      <c r="N145" s="302">
        <f>ROUND(L145/M145,0)</f>
        <v>149599</v>
      </c>
      <c r="O145" s="665">
        <f>SUM(O121:O143)</f>
        <v>867</v>
      </c>
    </row>
    <row r="146" spans="1:15" x14ac:dyDescent="0.25">
      <c r="A146" s="177"/>
      <c r="B146" s="177"/>
      <c r="C146" s="311"/>
      <c r="D146" s="311"/>
      <c r="E146" s="311"/>
      <c r="F146" s="299"/>
      <c r="G146" s="299"/>
      <c r="H146" s="299"/>
      <c r="I146" s="299"/>
      <c r="J146" s="299"/>
      <c r="K146" s="299"/>
      <c r="L146" s="299"/>
      <c r="M146" s="629"/>
      <c r="N146" s="302"/>
      <c r="O146" s="665"/>
    </row>
    <row r="147" spans="1:15" ht="15.75" thickBot="1" x14ac:dyDescent="0.3">
      <c r="A147" s="342" t="s">
        <v>95</v>
      </c>
      <c r="B147" s="342"/>
      <c r="C147" s="642">
        <f>ROUND(C14+C43+C91+C100+C117+C145,0)</f>
        <v>169296850</v>
      </c>
      <c r="D147" s="642">
        <f>ROUND(D14+D43+D91+D100+D117+D145,0)</f>
        <v>8423884</v>
      </c>
      <c r="E147" s="642">
        <f>ROUND(E14+E43+E91+E100+E117+E145,0)</f>
        <v>2334163</v>
      </c>
      <c r="F147" s="643">
        <f>ROUND(F14+F43+F91+F100+F117+F145,0)</f>
        <v>593318280</v>
      </c>
      <c r="G147" s="643">
        <f>ROUND(G14+G43+G91+G100+G117+G145,0)</f>
        <v>538469762</v>
      </c>
      <c r="H147" s="643">
        <f>H14+H43+H91+H100+H117+H145</f>
        <v>613506398.64999998</v>
      </c>
      <c r="I147" s="643">
        <f>ROUND(I14+I43+I91+I100+I117+I145,0)</f>
        <v>44472645</v>
      </c>
      <c r="J147" s="643">
        <f>ROUND(J14+J43+J91+J100+J117+J145,0)</f>
        <v>180836578</v>
      </c>
      <c r="K147" s="643">
        <f>ROUND(K14+K43+K91+K100+K117+K145,0)</f>
        <v>113855098</v>
      </c>
      <c r="L147" s="643">
        <f>ROUND(L14+L43+L91+L100+L117+L145,0)</f>
        <v>2264513661</v>
      </c>
      <c r="M147" s="629">
        <f>SUM(M14+M43+M91+M100+M117+M145)</f>
        <v>12731.416900000002</v>
      </c>
      <c r="N147" s="302">
        <f>ROUND(L147/M147,0)</f>
        <v>177868</v>
      </c>
      <c r="O147" s="665">
        <f>SUM(O14+O43+O91+O100+O117+O145)</f>
        <v>1207</v>
      </c>
    </row>
    <row r="148" spans="1:15" ht="15.75" thickTop="1" x14ac:dyDescent="0.25">
      <c r="A148" s="177"/>
      <c r="B148" s="177" t="s">
        <v>84</v>
      </c>
      <c r="C148" s="302"/>
      <c r="D148" s="302"/>
      <c r="E148" s="302"/>
      <c r="F148" s="330"/>
      <c r="G148" s="330"/>
      <c r="H148" s="330"/>
      <c r="I148" s="317"/>
      <c r="J148" s="317"/>
      <c r="K148" s="330"/>
      <c r="L148" s="330"/>
      <c r="M148" s="315"/>
      <c r="N148" s="302"/>
      <c r="O148" s="665"/>
    </row>
    <row r="149" spans="1:15" x14ac:dyDescent="0.25">
      <c r="A149" s="177"/>
      <c r="B149" s="217"/>
      <c r="C149" s="217"/>
      <c r="D149" s="217"/>
      <c r="E149" s="217"/>
      <c r="F149" s="328"/>
      <c r="G149" s="328"/>
      <c r="H149" s="328"/>
      <c r="I149" s="328"/>
      <c r="J149" s="328"/>
      <c r="K149" s="328"/>
      <c r="L149" s="328"/>
      <c r="M149" s="315"/>
      <c r="N149" s="302"/>
      <c r="O149" s="665"/>
    </row>
    <row r="150" spans="1:15" x14ac:dyDescent="0.25">
      <c r="A150" s="177"/>
      <c r="B150" s="647" t="s">
        <v>1806</v>
      </c>
      <c r="C150" s="648">
        <v>169095712</v>
      </c>
      <c r="D150" s="648">
        <v>8926648</v>
      </c>
      <c r="E150" s="648">
        <v>2604680</v>
      </c>
      <c r="F150" s="649">
        <v>667092548</v>
      </c>
      <c r="G150" s="649">
        <v>509623685</v>
      </c>
      <c r="H150" s="649">
        <v>610616959</v>
      </c>
      <c r="I150" s="649">
        <v>41087270</v>
      </c>
      <c r="J150" s="649">
        <v>172482750</v>
      </c>
      <c r="K150" s="650">
        <v>31912656</v>
      </c>
      <c r="L150" s="651">
        <v>2466550800</v>
      </c>
      <c r="M150" s="315"/>
      <c r="N150" s="302"/>
      <c r="O150" s="665"/>
    </row>
    <row r="151" spans="1:15" ht="15.75" thickBot="1" x14ac:dyDescent="0.3">
      <c r="A151" s="177"/>
      <c r="B151" s="652" t="s">
        <v>1014</v>
      </c>
      <c r="C151" s="644">
        <v>185893</v>
      </c>
      <c r="D151" s="645">
        <v>-503301</v>
      </c>
      <c r="E151" s="645">
        <v>-271027</v>
      </c>
      <c r="F151" s="646">
        <v>-73783562</v>
      </c>
      <c r="G151" s="646">
        <v>28659173</v>
      </c>
      <c r="H151" s="646">
        <v>2813781.1716607809</v>
      </c>
      <c r="I151" s="646">
        <v>3385375</v>
      </c>
      <c r="J151" s="646">
        <v>8353828</v>
      </c>
      <c r="K151" s="646">
        <v>81941711</v>
      </c>
      <c r="L151" s="646">
        <v>50781871.171660781</v>
      </c>
      <c r="M151" s="315"/>
      <c r="N151" s="302"/>
      <c r="O151" s="665"/>
    </row>
    <row r="152" spans="1:15" ht="15.75" thickTop="1" x14ac:dyDescent="0.25">
      <c r="A152" s="177"/>
      <c r="B152" s="177"/>
      <c r="C152" s="320"/>
      <c r="D152" s="320"/>
      <c r="E152" s="320"/>
      <c r="F152" s="317"/>
      <c r="G152" s="317"/>
      <c r="H152" s="317"/>
      <c r="I152" s="317"/>
      <c r="J152" s="317"/>
      <c r="K152" s="317"/>
      <c r="L152" s="317"/>
      <c r="M152" s="315"/>
      <c r="N152" s="302"/>
      <c r="O152" s="665"/>
    </row>
    <row r="153" spans="1:15" x14ac:dyDescent="0.25">
      <c r="A153" s="177"/>
      <c r="B153" s="177"/>
      <c r="C153" s="302"/>
      <c r="D153" s="320"/>
      <c r="E153" s="302"/>
      <c r="F153" s="330"/>
      <c r="G153" s="330"/>
      <c r="H153" s="317"/>
      <c r="I153" s="317"/>
      <c r="J153" s="317"/>
      <c r="K153" s="317"/>
      <c r="L153" s="317"/>
      <c r="M153" s="315"/>
      <c r="N153" s="302"/>
      <c r="O153" s="665"/>
    </row>
    <row r="154" spans="1:15" x14ac:dyDescent="0.25">
      <c r="A154" s="177"/>
      <c r="B154" s="177"/>
      <c r="C154" s="217"/>
      <c r="D154" s="217"/>
      <c r="E154" s="217"/>
      <c r="F154" s="328"/>
      <c r="G154" s="328"/>
      <c r="H154" s="328"/>
      <c r="I154" s="328"/>
      <c r="J154" s="328"/>
      <c r="K154" s="328"/>
      <c r="L154" s="328"/>
      <c r="M154" s="626"/>
      <c r="N154" s="329"/>
      <c r="O154" s="668"/>
    </row>
    <row r="155" spans="1:15" x14ac:dyDescent="0.25">
      <c r="A155" s="177"/>
      <c r="B155" s="177"/>
      <c r="C155" s="320"/>
      <c r="D155" s="320"/>
      <c r="E155" s="320"/>
      <c r="F155" s="317"/>
      <c r="G155" s="317"/>
      <c r="H155" s="317"/>
      <c r="I155" s="317"/>
      <c r="J155" s="317"/>
      <c r="K155" s="317"/>
      <c r="L155" s="317"/>
      <c r="M155" s="315"/>
      <c r="N155" s="302"/>
      <c r="O155" s="665"/>
    </row>
    <row r="156" spans="1:15" ht="18.75" hidden="1" x14ac:dyDescent="0.3">
      <c r="A156" s="332" t="s">
        <v>104</v>
      </c>
      <c r="B156" s="177"/>
      <c r="C156" s="320"/>
      <c r="D156" s="320"/>
      <c r="E156" s="320"/>
      <c r="F156" s="317"/>
      <c r="G156" s="317"/>
      <c r="H156" s="317"/>
      <c r="I156" s="317"/>
      <c r="J156" s="317"/>
      <c r="K156" s="317"/>
      <c r="L156" s="328"/>
      <c r="M156" s="626"/>
      <c r="N156" s="302"/>
      <c r="O156" s="665"/>
    </row>
    <row r="157" spans="1:15" hidden="1" x14ac:dyDescent="0.25">
      <c r="A157" s="177">
        <v>4300</v>
      </c>
      <c r="B157" s="177" t="s">
        <v>831</v>
      </c>
      <c r="C157" s="311">
        <v>0</v>
      </c>
      <c r="D157" s="311">
        <v>131348.09</v>
      </c>
      <c r="E157" s="311">
        <v>14695.550000000001</v>
      </c>
      <c r="F157" s="299">
        <v>0</v>
      </c>
      <c r="G157" s="299">
        <v>2443528.17</v>
      </c>
      <c r="H157" s="299">
        <v>97454.83</v>
      </c>
      <c r="I157" s="299">
        <v>0</v>
      </c>
      <c r="J157" s="299">
        <v>0</v>
      </c>
      <c r="K157" s="299">
        <v>0</v>
      </c>
      <c r="L157" s="299">
        <v>2687027</v>
      </c>
      <c r="M157" s="315"/>
      <c r="N157" s="302"/>
      <c r="O157" s="665"/>
    </row>
    <row r="158" spans="1:15" hidden="1" x14ac:dyDescent="0.25">
      <c r="A158" s="177">
        <v>4207</v>
      </c>
      <c r="B158" s="177" t="s">
        <v>1451</v>
      </c>
      <c r="C158" s="311">
        <v>0</v>
      </c>
      <c r="D158" s="311">
        <v>25798.080000000002</v>
      </c>
      <c r="E158" s="311">
        <v>0</v>
      </c>
      <c r="F158" s="299">
        <v>0</v>
      </c>
      <c r="G158" s="299">
        <v>0</v>
      </c>
      <c r="H158" s="299">
        <v>0</v>
      </c>
      <c r="I158" s="299">
        <v>0</v>
      </c>
      <c r="J158" s="299">
        <v>0</v>
      </c>
      <c r="K158" s="299">
        <v>0</v>
      </c>
      <c r="L158" s="299">
        <v>25798</v>
      </c>
      <c r="M158" s="315"/>
      <c r="N158" s="302"/>
      <c r="O158" s="665"/>
    </row>
    <row r="159" spans="1:15" hidden="1" x14ac:dyDescent="0.25">
      <c r="A159" s="177">
        <v>4400</v>
      </c>
      <c r="B159" s="177" t="s">
        <v>832</v>
      </c>
      <c r="C159" s="311">
        <v>3127.1</v>
      </c>
      <c r="D159" s="311">
        <v>0</v>
      </c>
      <c r="E159" s="311">
        <v>12363.33</v>
      </c>
      <c r="F159" s="299">
        <v>0</v>
      </c>
      <c r="G159" s="299">
        <v>727618.76</v>
      </c>
      <c r="H159" s="299">
        <v>95686.92</v>
      </c>
      <c r="I159" s="299">
        <v>1437203.87</v>
      </c>
      <c r="J159" s="299">
        <v>2604511.86</v>
      </c>
      <c r="K159" s="299">
        <v>0</v>
      </c>
      <c r="L159" s="299">
        <v>4880512</v>
      </c>
      <c r="M159" s="315"/>
      <c r="N159" s="302"/>
      <c r="O159" s="665"/>
    </row>
    <row r="160" spans="1:15" hidden="1" x14ac:dyDescent="0.25">
      <c r="A160" s="177">
        <v>4500</v>
      </c>
      <c r="B160" s="177" t="s">
        <v>833</v>
      </c>
      <c r="C160" s="311">
        <v>0</v>
      </c>
      <c r="D160" s="311">
        <v>41481.279999999999</v>
      </c>
      <c r="E160" s="311">
        <v>21656.5</v>
      </c>
      <c r="F160" s="299">
        <v>1780765.37</v>
      </c>
      <c r="G160" s="299">
        <v>196219.95</v>
      </c>
      <c r="H160" s="299">
        <v>812362.25</v>
      </c>
      <c r="I160" s="299">
        <v>0</v>
      </c>
      <c r="J160" s="299">
        <v>0</v>
      </c>
      <c r="K160" s="299">
        <v>37735.17</v>
      </c>
      <c r="L160" s="299">
        <v>2890221</v>
      </c>
      <c r="M160" s="318"/>
      <c r="N160" s="329"/>
      <c r="O160" s="668"/>
    </row>
    <row r="161" spans="1:15" hidden="1" x14ac:dyDescent="0.25">
      <c r="A161" s="177">
        <v>4600</v>
      </c>
      <c r="B161" s="333" t="s">
        <v>1807</v>
      </c>
      <c r="C161" s="311">
        <v>0</v>
      </c>
      <c r="D161" s="311">
        <v>106617.96</v>
      </c>
      <c r="E161" s="311">
        <v>21514.78</v>
      </c>
      <c r="F161" s="299">
        <v>5961884.9400000004</v>
      </c>
      <c r="G161" s="299">
        <v>3620101.61</v>
      </c>
      <c r="H161" s="299">
        <v>3169131.87</v>
      </c>
      <c r="I161" s="299">
        <v>0</v>
      </c>
      <c r="J161" s="299">
        <v>0</v>
      </c>
      <c r="K161" s="299">
        <v>0</v>
      </c>
      <c r="L161" s="299">
        <v>12879251</v>
      </c>
      <c r="M161" s="318"/>
      <c r="N161" s="329"/>
      <c r="O161" s="668"/>
    </row>
    <row r="162" spans="1:15" hidden="1" x14ac:dyDescent="0.25">
      <c r="A162" s="177">
        <v>4700</v>
      </c>
      <c r="B162" s="333" t="s">
        <v>126</v>
      </c>
      <c r="C162" s="311">
        <v>33304.81</v>
      </c>
      <c r="D162" s="311">
        <v>0</v>
      </c>
      <c r="E162" s="311">
        <v>1232.8700000000001</v>
      </c>
      <c r="F162" s="299">
        <v>0</v>
      </c>
      <c r="G162" s="299">
        <v>0</v>
      </c>
      <c r="H162" s="299">
        <v>0</v>
      </c>
      <c r="I162" s="299">
        <v>0</v>
      </c>
      <c r="J162" s="299">
        <v>0</v>
      </c>
      <c r="K162" s="299">
        <v>0</v>
      </c>
      <c r="L162" s="299">
        <v>34538</v>
      </c>
      <c r="M162" s="318"/>
      <c r="N162" s="329"/>
      <c r="O162" s="668"/>
    </row>
    <row r="163" spans="1:15" hidden="1" x14ac:dyDescent="0.25">
      <c r="A163" s="177">
        <v>4820</v>
      </c>
      <c r="B163" s="333" t="s">
        <v>1808</v>
      </c>
      <c r="C163" s="311">
        <v>0</v>
      </c>
      <c r="D163" s="311">
        <v>0</v>
      </c>
      <c r="E163" s="311">
        <v>0</v>
      </c>
      <c r="F163" s="299">
        <v>0</v>
      </c>
      <c r="G163" s="299">
        <v>23.11</v>
      </c>
      <c r="H163" s="299">
        <v>0</v>
      </c>
      <c r="I163" s="299">
        <v>0</v>
      </c>
      <c r="J163" s="299">
        <v>0</v>
      </c>
      <c r="K163" s="299">
        <v>0</v>
      </c>
      <c r="L163" s="299"/>
      <c r="M163" s="318"/>
      <c r="N163" s="329"/>
      <c r="O163" s="668"/>
    </row>
    <row r="164" spans="1:15" hidden="1" x14ac:dyDescent="0.25">
      <c r="A164" s="177">
        <v>4800</v>
      </c>
      <c r="B164" s="177" t="s">
        <v>835</v>
      </c>
      <c r="C164" s="311">
        <v>2930.68</v>
      </c>
      <c r="D164" s="311">
        <v>32032.13</v>
      </c>
      <c r="E164" s="311">
        <v>3629.7200000000003</v>
      </c>
      <c r="F164" s="299">
        <v>0</v>
      </c>
      <c r="G164" s="299">
        <v>258202.61000000002</v>
      </c>
      <c r="H164" s="299">
        <v>0</v>
      </c>
      <c r="I164" s="299">
        <v>0</v>
      </c>
      <c r="J164" s="299">
        <v>0</v>
      </c>
      <c r="K164" s="299">
        <v>0</v>
      </c>
      <c r="L164" s="299">
        <v>296795</v>
      </c>
      <c r="M164" s="318"/>
      <c r="N164" s="329"/>
      <c r="O164" s="668"/>
    </row>
    <row r="165" spans="1:15" hidden="1" x14ac:dyDescent="0.25">
      <c r="A165" s="177"/>
      <c r="B165" s="177"/>
      <c r="C165" s="313">
        <v>39363</v>
      </c>
      <c r="D165" s="313">
        <v>337278</v>
      </c>
      <c r="E165" s="313">
        <v>75093</v>
      </c>
      <c r="F165" s="314">
        <v>7742650</v>
      </c>
      <c r="G165" s="314">
        <v>7245694</v>
      </c>
      <c r="H165" s="314">
        <v>4174636</v>
      </c>
      <c r="I165" s="314">
        <v>1437204</v>
      </c>
      <c r="J165" s="314">
        <v>2604512</v>
      </c>
      <c r="K165" s="314">
        <v>37735</v>
      </c>
      <c r="L165" s="314">
        <v>23694142</v>
      </c>
      <c r="M165" s="315"/>
      <c r="N165" s="302"/>
      <c r="O165" s="665"/>
    </row>
    <row r="166" spans="1:15" hidden="1" x14ac:dyDescent="0.25">
      <c r="A166" s="177"/>
      <c r="B166" s="177"/>
      <c r="C166" s="320"/>
      <c r="D166" s="320"/>
      <c r="E166" s="320"/>
      <c r="F166" s="317"/>
      <c r="G166" s="317"/>
      <c r="H166" s="317"/>
      <c r="I166" s="317"/>
      <c r="J166" s="317"/>
      <c r="K166" s="317"/>
      <c r="L166" s="317"/>
      <c r="M166" s="301"/>
      <c r="N166" s="302"/>
      <c r="O166" s="665"/>
    </row>
    <row r="167" spans="1:15" ht="18.75" hidden="1" x14ac:dyDescent="0.3">
      <c r="A167" s="332" t="s">
        <v>836</v>
      </c>
      <c r="B167" s="177"/>
      <c r="C167" s="311"/>
      <c r="D167" s="311"/>
      <c r="E167" s="311"/>
      <c r="F167" s="299"/>
      <c r="G167" s="299"/>
      <c r="H167" s="299"/>
      <c r="I167" s="299"/>
      <c r="J167" s="299"/>
      <c r="K167" s="299"/>
      <c r="L167" s="299"/>
      <c r="M167" s="301"/>
      <c r="N167" s="302"/>
      <c r="O167" s="665"/>
    </row>
    <row r="168" spans="1:15" hidden="1" x14ac:dyDescent="0.25">
      <c r="A168" s="334">
        <v>1250</v>
      </c>
      <c r="B168" s="335" t="s">
        <v>1809</v>
      </c>
      <c r="C168" s="311" t="s">
        <v>1810</v>
      </c>
      <c r="D168" s="311" t="s">
        <v>1810</v>
      </c>
      <c r="E168" s="311" t="s">
        <v>1810</v>
      </c>
      <c r="F168" s="299">
        <v>0</v>
      </c>
      <c r="G168" s="299">
        <v>0</v>
      </c>
      <c r="H168" s="299">
        <v>0</v>
      </c>
      <c r="I168" s="299">
        <v>0</v>
      </c>
      <c r="J168" s="299">
        <v>0</v>
      </c>
      <c r="K168" s="299">
        <v>0</v>
      </c>
      <c r="L168" s="299">
        <v>0</v>
      </c>
      <c r="M168" s="301"/>
      <c r="N168" s="302"/>
      <c r="O168" s="665"/>
    </row>
    <row r="169" spans="1:15" hidden="1" x14ac:dyDescent="0.25">
      <c r="A169" s="334">
        <v>1320</v>
      </c>
      <c r="B169" s="335" t="s">
        <v>1811</v>
      </c>
      <c r="C169" s="311" t="s">
        <v>1810</v>
      </c>
      <c r="D169" s="311" t="s">
        <v>1810</v>
      </c>
      <c r="E169" s="311" t="s">
        <v>1810</v>
      </c>
      <c r="F169" s="299">
        <v>0</v>
      </c>
      <c r="G169" s="299">
        <v>0</v>
      </c>
      <c r="H169" s="299">
        <v>0</v>
      </c>
      <c r="I169" s="299">
        <v>0</v>
      </c>
      <c r="J169" s="299">
        <v>0</v>
      </c>
      <c r="K169" s="299">
        <v>0</v>
      </c>
      <c r="L169" s="299">
        <v>0</v>
      </c>
      <c r="M169" s="301"/>
      <c r="N169" s="302"/>
      <c r="O169" s="665"/>
    </row>
    <row r="170" spans="1:15" hidden="1" x14ac:dyDescent="0.25">
      <c r="A170" s="334">
        <v>1330</v>
      </c>
      <c r="B170" s="335" t="s">
        <v>1812</v>
      </c>
      <c r="C170" s="311" t="s">
        <v>1810</v>
      </c>
      <c r="D170" s="311" t="s">
        <v>1810</v>
      </c>
      <c r="E170" s="311" t="s">
        <v>1810</v>
      </c>
      <c r="F170" s="299">
        <v>0</v>
      </c>
      <c r="G170" s="299">
        <v>0</v>
      </c>
      <c r="H170" s="299">
        <v>0</v>
      </c>
      <c r="I170" s="299">
        <v>0</v>
      </c>
      <c r="J170" s="299">
        <v>0</v>
      </c>
      <c r="K170" s="299">
        <v>0</v>
      </c>
      <c r="L170" s="299">
        <v>0</v>
      </c>
      <c r="M170" s="301"/>
      <c r="N170" s="302"/>
      <c r="O170" s="665"/>
    </row>
    <row r="171" spans="1:15" hidden="1" x14ac:dyDescent="0.25">
      <c r="A171" s="334">
        <v>1451</v>
      </c>
      <c r="B171" s="335" t="s">
        <v>1813</v>
      </c>
      <c r="C171" s="311" t="s">
        <v>1810</v>
      </c>
      <c r="D171" s="311" t="s">
        <v>1810</v>
      </c>
      <c r="E171" s="311" t="s">
        <v>1810</v>
      </c>
      <c r="F171" s="299">
        <v>0</v>
      </c>
      <c r="G171" s="299">
        <v>0</v>
      </c>
      <c r="H171" s="299">
        <v>0</v>
      </c>
      <c r="I171" s="299">
        <v>0</v>
      </c>
      <c r="J171" s="299">
        <v>0</v>
      </c>
      <c r="K171" s="299">
        <v>0</v>
      </c>
      <c r="L171" s="299">
        <v>0</v>
      </c>
      <c r="M171" s="301"/>
      <c r="N171" s="302"/>
      <c r="O171" s="665"/>
    </row>
    <row r="172" spans="1:15" hidden="1" x14ac:dyDescent="0.25">
      <c r="A172" s="334">
        <v>1808</v>
      </c>
      <c r="B172" s="335" t="s">
        <v>1814</v>
      </c>
      <c r="C172" s="311" t="s">
        <v>1810</v>
      </c>
      <c r="D172" s="311" t="s">
        <v>1810</v>
      </c>
      <c r="E172" s="311" t="s">
        <v>1810</v>
      </c>
      <c r="F172" s="299">
        <v>0</v>
      </c>
      <c r="G172" s="299">
        <v>0</v>
      </c>
      <c r="H172" s="299">
        <v>0</v>
      </c>
      <c r="I172" s="299">
        <v>0</v>
      </c>
      <c r="J172" s="299">
        <v>0</v>
      </c>
      <c r="K172" s="299">
        <v>0</v>
      </c>
      <c r="L172" s="299">
        <v>0</v>
      </c>
      <c r="M172" s="301"/>
      <c r="N172" s="302"/>
      <c r="O172" s="665"/>
    </row>
    <row r="173" spans="1:15" hidden="1" x14ac:dyDescent="0.25">
      <c r="A173" s="334">
        <v>1809</v>
      </c>
      <c r="B173" s="335" t="s">
        <v>1815</v>
      </c>
      <c r="C173" s="311" t="s">
        <v>1810</v>
      </c>
      <c r="D173" s="311" t="s">
        <v>1810</v>
      </c>
      <c r="E173" s="311" t="s">
        <v>1810</v>
      </c>
      <c r="F173" s="299">
        <v>0</v>
      </c>
      <c r="G173" s="299">
        <v>0</v>
      </c>
      <c r="H173" s="299">
        <v>0</v>
      </c>
      <c r="I173" s="299">
        <v>0</v>
      </c>
      <c r="J173" s="299">
        <v>0</v>
      </c>
      <c r="K173" s="299">
        <v>0</v>
      </c>
      <c r="L173" s="299">
        <v>0</v>
      </c>
      <c r="M173" s="301"/>
      <c r="N173" s="302"/>
      <c r="O173" s="665"/>
    </row>
    <row r="174" spans="1:15" hidden="1" x14ac:dyDescent="0.25">
      <c r="A174" s="334">
        <v>1810</v>
      </c>
      <c r="B174" s="335" t="s">
        <v>1816</v>
      </c>
      <c r="C174" s="311" t="s">
        <v>1810</v>
      </c>
      <c r="D174" s="311" t="s">
        <v>1810</v>
      </c>
      <c r="E174" s="311" t="s">
        <v>1810</v>
      </c>
      <c r="F174" s="299">
        <v>0</v>
      </c>
      <c r="G174" s="299">
        <v>0</v>
      </c>
      <c r="H174" s="299">
        <v>0</v>
      </c>
      <c r="I174" s="299">
        <v>0</v>
      </c>
      <c r="J174" s="299">
        <v>0</v>
      </c>
      <c r="K174" s="299">
        <v>0</v>
      </c>
      <c r="L174" s="299">
        <v>0</v>
      </c>
      <c r="M174" s="301"/>
      <c r="N174" s="302"/>
      <c r="O174" s="665"/>
    </row>
    <row r="175" spans="1:15" hidden="1" x14ac:dyDescent="0.25">
      <c r="A175" s="334">
        <v>1812</v>
      </c>
      <c r="B175" s="335" t="s">
        <v>1817</v>
      </c>
      <c r="C175" s="311" t="s">
        <v>1810</v>
      </c>
      <c r="D175" s="311" t="s">
        <v>1810</v>
      </c>
      <c r="E175" s="311" t="s">
        <v>1810</v>
      </c>
      <c r="F175" s="299">
        <v>0</v>
      </c>
      <c r="G175" s="299">
        <v>0</v>
      </c>
      <c r="H175" s="299">
        <v>0</v>
      </c>
      <c r="I175" s="299">
        <v>0</v>
      </c>
      <c r="J175" s="299">
        <v>0</v>
      </c>
      <c r="K175" s="299">
        <v>0</v>
      </c>
      <c r="L175" s="299">
        <v>0</v>
      </c>
      <c r="M175" s="301"/>
      <c r="N175" s="302"/>
      <c r="O175" s="665"/>
    </row>
    <row r="176" spans="1:15" hidden="1" x14ac:dyDescent="0.25">
      <c r="A176" s="334">
        <v>1818</v>
      </c>
      <c r="B176" s="335" t="s">
        <v>1818</v>
      </c>
      <c r="C176" s="311" t="s">
        <v>1810</v>
      </c>
      <c r="D176" s="311" t="s">
        <v>1810</v>
      </c>
      <c r="E176" s="311" t="s">
        <v>1810</v>
      </c>
      <c r="F176" s="299">
        <v>0</v>
      </c>
      <c r="G176" s="299">
        <v>0</v>
      </c>
      <c r="H176" s="299">
        <v>0</v>
      </c>
      <c r="I176" s="299">
        <v>0</v>
      </c>
      <c r="J176" s="299">
        <v>0</v>
      </c>
      <c r="K176" s="299">
        <v>0</v>
      </c>
      <c r="L176" s="299">
        <v>0</v>
      </c>
      <c r="M176" s="301"/>
      <c r="N176" s="302"/>
      <c r="O176" s="665"/>
    </row>
    <row r="177" spans="1:15" hidden="1" x14ac:dyDescent="0.25">
      <c r="A177" s="334">
        <v>1824</v>
      </c>
      <c r="B177" s="335" t="s">
        <v>1819</v>
      </c>
      <c r="C177" s="311" t="s">
        <v>1810</v>
      </c>
      <c r="D177" s="311" t="s">
        <v>1810</v>
      </c>
      <c r="E177" s="311" t="s">
        <v>1810</v>
      </c>
      <c r="F177" s="299">
        <v>0</v>
      </c>
      <c r="G177" s="299">
        <v>0</v>
      </c>
      <c r="H177" s="299">
        <v>0</v>
      </c>
      <c r="I177" s="299">
        <v>0</v>
      </c>
      <c r="J177" s="299">
        <v>0</v>
      </c>
      <c r="K177" s="299">
        <v>0</v>
      </c>
      <c r="L177" s="299">
        <v>0</v>
      </c>
      <c r="M177" s="301"/>
      <c r="N177" s="302"/>
      <c r="O177" s="665"/>
    </row>
    <row r="178" spans="1:15" hidden="1" x14ac:dyDescent="0.25">
      <c r="A178" s="334">
        <v>1839</v>
      </c>
      <c r="B178" s="335" t="s">
        <v>1820</v>
      </c>
      <c r="C178" s="311" t="s">
        <v>1810</v>
      </c>
      <c r="D178" s="311" t="s">
        <v>1810</v>
      </c>
      <c r="E178" s="311" t="s">
        <v>1810</v>
      </c>
      <c r="F178" s="299">
        <v>0</v>
      </c>
      <c r="G178" s="299">
        <v>0</v>
      </c>
      <c r="H178" s="299">
        <v>0</v>
      </c>
      <c r="I178" s="299">
        <v>0</v>
      </c>
      <c r="J178" s="299">
        <v>0</v>
      </c>
      <c r="K178" s="299">
        <v>0</v>
      </c>
      <c r="L178" s="299">
        <v>0</v>
      </c>
      <c r="M178" s="301"/>
      <c r="N178" s="302"/>
      <c r="O178" s="665"/>
    </row>
    <row r="179" spans="1:15" hidden="1" x14ac:dyDescent="0.25">
      <c r="A179" s="334">
        <v>1860</v>
      </c>
      <c r="B179" s="335" t="s">
        <v>837</v>
      </c>
      <c r="C179" s="311" t="s">
        <v>1810</v>
      </c>
      <c r="D179" s="311" t="s">
        <v>1810</v>
      </c>
      <c r="E179" s="311" t="s">
        <v>1810</v>
      </c>
      <c r="F179" s="299">
        <v>232240.58000000002</v>
      </c>
      <c r="G179" s="299">
        <v>0</v>
      </c>
      <c r="H179" s="299">
        <v>84726.59</v>
      </c>
      <c r="I179" s="299">
        <v>0</v>
      </c>
      <c r="J179" s="299">
        <v>0</v>
      </c>
      <c r="K179" s="299">
        <v>0</v>
      </c>
      <c r="L179" s="299">
        <v>316967</v>
      </c>
      <c r="M179" s="301"/>
      <c r="N179" s="302"/>
      <c r="O179" s="665"/>
    </row>
    <row r="180" spans="1:15" hidden="1" x14ac:dyDescent="0.25">
      <c r="A180" s="334">
        <v>1864</v>
      </c>
      <c r="B180" s="335" t="s">
        <v>838</v>
      </c>
      <c r="C180" s="311" t="s">
        <v>1810</v>
      </c>
      <c r="D180" s="311" t="s">
        <v>1810</v>
      </c>
      <c r="E180" s="311" t="s">
        <v>1810</v>
      </c>
      <c r="F180" s="299">
        <v>181544.74</v>
      </c>
      <c r="G180" s="299">
        <v>0</v>
      </c>
      <c r="H180" s="299">
        <v>96210.290000000008</v>
      </c>
      <c r="I180" s="299">
        <v>0</v>
      </c>
      <c r="J180" s="299">
        <v>0</v>
      </c>
      <c r="K180" s="299">
        <v>0</v>
      </c>
      <c r="L180" s="299">
        <v>277755</v>
      </c>
      <c r="M180" s="301"/>
      <c r="N180" s="302"/>
      <c r="O180" s="665"/>
    </row>
    <row r="181" spans="1:15" hidden="1" x14ac:dyDescent="0.25">
      <c r="A181" s="334">
        <v>1866</v>
      </c>
      <c r="B181" s="335" t="s">
        <v>839</v>
      </c>
      <c r="C181" s="311" t="s">
        <v>1810</v>
      </c>
      <c r="D181" s="311" t="s">
        <v>1810</v>
      </c>
      <c r="E181" s="311" t="s">
        <v>1810</v>
      </c>
      <c r="F181" s="299">
        <v>253332.19</v>
      </c>
      <c r="G181" s="299">
        <v>0</v>
      </c>
      <c r="H181" s="299">
        <v>92248.5</v>
      </c>
      <c r="I181" s="299">
        <v>0</v>
      </c>
      <c r="J181" s="299">
        <v>0</v>
      </c>
      <c r="K181" s="299">
        <v>0</v>
      </c>
      <c r="L181" s="299">
        <v>345581</v>
      </c>
      <c r="M181" s="301"/>
      <c r="N181" s="302"/>
      <c r="O181" s="665"/>
    </row>
    <row r="182" spans="1:15" hidden="1" x14ac:dyDescent="0.25">
      <c r="A182" s="334">
        <v>1867</v>
      </c>
      <c r="B182" s="335" t="s">
        <v>1821</v>
      </c>
      <c r="C182" s="311" t="s">
        <v>1810</v>
      </c>
      <c r="D182" s="311" t="s">
        <v>1810</v>
      </c>
      <c r="E182" s="311" t="s">
        <v>1810</v>
      </c>
      <c r="F182" s="299">
        <v>0</v>
      </c>
      <c r="G182" s="299">
        <v>0</v>
      </c>
      <c r="H182" s="299">
        <v>0</v>
      </c>
      <c r="I182" s="299">
        <v>0</v>
      </c>
      <c r="J182" s="299">
        <v>0</v>
      </c>
      <c r="K182" s="299">
        <v>0</v>
      </c>
      <c r="L182" s="299">
        <v>0</v>
      </c>
      <c r="M182" s="301"/>
      <c r="N182" s="302"/>
      <c r="O182" s="665"/>
    </row>
    <row r="183" spans="1:15" hidden="1" x14ac:dyDescent="0.25">
      <c r="A183" s="334">
        <v>1869</v>
      </c>
      <c r="B183" s="335" t="s">
        <v>1822</v>
      </c>
      <c r="C183" s="311" t="s">
        <v>1810</v>
      </c>
      <c r="D183" s="311" t="s">
        <v>1810</v>
      </c>
      <c r="E183" s="311" t="s">
        <v>1810</v>
      </c>
      <c r="F183" s="299">
        <v>0</v>
      </c>
      <c r="G183" s="299">
        <v>0</v>
      </c>
      <c r="H183" s="299">
        <v>0</v>
      </c>
      <c r="I183" s="299">
        <v>0</v>
      </c>
      <c r="J183" s="299">
        <v>0</v>
      </c>
      <c r="K183" s="299">
        <v>0</v>
      </c>
      <c r="L183" s="299">
        <v>0</v>
      </c>
      <c r="M183" s="301"/>
      <c r="N183" s="302"/>
      <c r="O183" s="665"/>
    </row>
    <row r="184" spans="1:15" hidden="1" x14ac:dyDescent="0.25">
      <c r="A184" s="334">
        <v>1999</v>
      </c>
      <c r="B184" s="335" t="s">
        <v>1823</v>
      </c>
      <c r="C184" s="311" t="s">
        <v>1810</v>
      </c>
      <c r="D184" s="311" t="s">
        <v>1810</v>
      </c>
      <c r="E184" s="311" t="s">
        <v>1810</v>
      </c>
      <c r="F184" s="299">
        <v>0</v>
      </c>
      <c r="G184" s="299">
        <v>0</v>
      </c>
      <c r="H184" s="299">
        <v>0</v>
      </c>
      <c r="I184" s="299">
        <v>0</v>
      </c>
      <c r="J184" s="299">
        <v>0</v>
      </c>
      <c r="K184" s="299">
        <v>0</v>
      </c>
      <c r="L184" s="299">
        <v>0</v>
      </c>
      <c r="M184" s="301"/>
      <c r="N184" s="302"/>
      <c r="O184" s="665"/>
    </row>
    <row r="185" spans="1:15" hidden="1" x14ac:dyDescent="0.25">
      <c r="A185" s="334">
        <v>2150</v>
      </c>
      <c r="B185" s="335" t="s">
        <v>1824</v>
      </c>
      <c r="C185" s="311" t="s">
        <v>1810</v>
      </c>
      <c r="D185" s="311" t="s">
        <v>1810</v>
      </c>
      <c r="E185" s="311" t="s">
        <v>1810</v>
      </c>
      <c r="F185" s="299">
        <v>0</v>
      </c>
      <c r="G185" s="299">
        <v>0</v>
      </c>
      <c r="H185" s="299">
        <v>0</v>
      </c>
      <c r="I185" s="299">
        <v>0</v>
      </c>
      <c r="J185" s="299">
        <v>0</v>
      </c>
      <c r="K185" s="299">
        <v>0</v>
      </c>
      <c r="L185" s="299">
        <v>0</v>
      </c>
      <c r="M185" s="301"/>
      <c r="N185" s="302"/>
      <c r="O185" s="665"/>
    </row>
    <row r="186" spans="1:15" hidden="1" x14ac:dyDescent="0.25">
      <c r="A186" s="334">
        <v>2202</v>
      </c>
      <c r="B186" s="335" t="s">
        <v>1825</v>
      </c>
      <c r="C186" s="311" t="s">
        <v>1810</v>
      </c>
      <c r="D186" s="311" t="s">
        <v>1810</v>
      </c>
      <c r="E186" s="311" t="s">
        <v>1810</v>
      </c>
      <c r="F186" s="299">
        <v>0</v>
      </c>
      <c r="G186" s="299">
        <v>0</v>
      </c>
      <c r="H186" s="299">
        <v>0</v>
      </c>
      <c r="I186" s="299">
        <v>0</v>
      </c>
      <c r="J186" s="299">
        <v>0</v>
      </c>
      <c r="K186" s="299">
        <v>0</v>
      </c>
      <c r="L186" s="299">
        <v>0</v>
      </c>
      <c r="M186" s="301"/>
      <c r="N186" s="302"/>
      <c r="O186" s="665"/>
    </row>
    <row r="187" spans="1:15" hidden="1" x14ac:dyDescent="0.25">
      <c r="A187" s="334">
        <v>2211</v>
      </c>
      <c r="B187" s="335" t="s">
        <v>1826</v>
      </c>
      <c r="C187" s="311" t="s">
        <v>1810</v>
      </c>
      <c r="D187" s="311" t="s">
        <v>1810</v>
      </c>
      <c r="E187" s="311" t="s">
        <v>1810</v>
      </c>
      <c r="F187" s="299">
        <v>0</v>
      </c>
      <c r="G187" s="299">
        <v>0</v>
      </c>
      <c r="H187" s="299">
        <v>0</v>
      </c>
      <c r="I187" s="299">
        <v>0</v>
      </c>
      <c r="J187" s="299">
        <v>0</v>
      </c>
      <c r="K187" s="299">
        <v>0</v>
      </c>
      <c r="L187" s="299">
        <v>0</v>
      </c>
      <c r="M187" s="301"/>
      <c r="N187" s="302"/>
      <c r="O187" s="665"/>
    </row>
    <row r="188" spans="1:15" hidden="1" x14ac:dyDescent="0.25">
      <c r="A188" s="334">
        <v>2212</v>
      </c>
      <c r="B188" s="335" t="s">
        <v>1827</v>
      </c>
      <c r="C188" s="311" t="s">
        <v>1810</v>
      </c>
      <c r="D188" s="311" t="s">
        <v>1810</v>
      </c>
      <c r="E188" s="311" t="s">
        <v>1810</v>
      </c>
      <c r="F188" s="299">
        <v>0</v>
      </c>
      <c r="G188" s="299">
        <v>0</v>
      </c>
      <c r="H188" s="299">
        <v>0</v>
      </c>
      <c r="I188" s="299">
        <v>0</v>
      </c>
      <c r="J188" s="299">
        <v>0</v>
      </c>
      <c r="K188" s="299">
        <v>0</v>
      </c>
      <c r="L188" s="299">
        <v>0</v>
      </c>
      <c r="M188" s="301"/>
      <c r="N188" s="302"/>
      <c r="O188" s="665"/>
    </row>
    <row r="189" spans="1:15" hidden="1" x14ac:dyDescent="0.25">
      <c r="A189" s="334">
        <v>2229</v>
      </c>
      <c r="B189" s="335" t="s">
        <v>1828</v>
      </c>
      <c r="C189" s="311" t="s">
        <v>1810</v>
      </c>
      <c r="D189" s="311" t="s">
        <v>1810</v>
      </c>
      <c r="E189" s="311" t="s">
        <v>1810</v>
      </c>
      <c r="F189" s="299">
        <v>0</v>
      </c>
      <c r="G189" s="299">
        <v>0</v>
      </c>
      <c r="H189" s="299">
        <v>0</v>
      </c>
      <c r="I189" s="299">
        <v>0</v>
      </c>
      <c r="J189" s="299">
        <v>0</v>
      </c>
      <c r="K189" s="299">
        <v>0</v>
      </c>
      <c r="L189" s="299">
        <v>0</v>
      </c>
      <c r="M189" s="301"/>
      <c r="N189" s="302"/>
      <c r="O189" s="665"/>
    </row>
    <row r="190" spans="1:15" hidden="1" x14ac:dyDescent="0.25">
      <c r="A190" s="334">
        <v>2230</v>
      </c>
      <c r="B190" s="335" t="s">
        <v>1829</v>
      </c>
      <c r="C190" s="311" t="s">
        <v>1810</v>
      </c>
      <c r="D190" s="311" t="s">
        <v>1810</v>
      </c>
      <c r="E190" s="311" t="s">
        <v>1810</v>
      </c>
      <c r="F190" s="299">
        <v>0</v>
      </c>
      <c r="G190" s="299">
        <v>0</v>
      </c>
      <c r="H190" s="299">
        <v>0</v>
      </c>
      <c r="I190" s="299">
        <v>0</v>
      </c>
      <c r="J190" s="299">
        <v>0</v>
      </c>
      <c r="K190" s="299">
        <v>0</v>
      </c>
      <c r="L190" s="299">
        <v>0</v>
      </c>
      <c r="M190" s="301"/>
      <c r="N190" s="302"/>
      <c r="O190" s="665"/>
    </row>
    <row r="191" spans="1:15" hidden="1" x14ac:dyDescent="0.25">
      <c r="A191" s="334">
        <v>2234</v>
      </c>
      <c r="B191" s="335" t="s">
        <v>1830</v>
      </c>
      <c r="C191" s="311" t="s">
        <v>1810</v>
      </c>
      <c r="D191" s="311" t="s">
        <v>1810</v>
      </c>
      <c r="E191" s="311" t="s">
        <v>1810</v>
      </c>
      <c r="F191" s="299">
        <v>0</v>
      </c>
      <c r="G191" s="299">
        <v>0</v>
      </c>
      <c r="H191" s="299">
        <v>0</v>
      </c>
      <c r="I191" s="299">
        <v>0</v>
      </c>
      <c r="J191" s="299">
        <v>0</v>
      </c>
      <c r="K191" s="299">
        <v>0</v>
      </c>
      <c r="L191" s="299">
        <v>0</v>
      </c>
      <c r="M191" s="301"/>
      <c r="N191" s="302"/>
      <c r="O191" s="665"/>
    </row>
    <row r="192" spans="1:15" hidden="1" x14ac:dyDescent="0.25">
      <c r="A192" s="334">
        <v>2236</v>
      </c>
      <c r="B192" s="335" t="s">
        <v>1831</v>
      </c>
      <c r="C192" s="311" t="s">
        <v>1810</v>
      </c>
      <c r="D192" s="311" t="s">
        <v>1810</v>
      </c>
      <c r="E192" s="311" t="s">
        <v>1810</v>
      </c>
      <c r="F192" s="299">
        <v>0</v>
      </c>
      <c r="G192" s="299">
        <v>0</v>
      </c>
      <c r="H192" s="299">
        <v>0</v>
      </c>
      <c r="I192" s="299">
        <v>0</v>
      </c>
      <c r="J192" s="299">
        <v>0</v>
      </c>
      <c r="K192" s="299">
        <v>0</v>
      </c>
      <c r="L192" s="299">
        <v>0</v>
      </c>
      <c r="M192" s="301"/>
      <c r="N192" s="302"/>
      <c r="O192" s="665"/>
    </row>
    <row r="193" spans="1:15" hidden="1" x14ac:dyDescent="0.25">
      <c r="A193" s="334">
        <v>2237</v>
      </c>
      <c r="B193" s="335" t="s">
        <v>1832</v>
      </c>
      <c r="C193" s="311" t="s">
        <v>1810</v>
      </c>
      <c r="D193" s="311" t="s">
        <v>1810</v>
      </c>
      <c r="E193" s="311" t="s">
        <v>1810</v>
      </c>
      <c r="F193" s="299">
        <v>0</v>
      </c>
      <c r="G193" s="299">
        <v>0</v>
      </c>
      <c r="H193" s="299">
        <v>0</v>
      </c>
      <c r="I193" s="299">
        <v>0</v>
      </c>
      <c r="J193" s="299">
        <v>0</v>
      </c>
      <c r="K193" s="299">
        <v>0</v>
      </c>
      <c r="L193" s="299">
        <v>0</v>
      </c>
      <c r="M193" s="301"/>
      <c r="N193" s="302"/>
      <c r="O193" s="665"/>
    </row>
    <row r="194" spans="1:15" hidden="1" x14ac:dyDescent="0.25">
      <c r="A194" s="334">
        <v>2238</v>
      </c>
      <c r="B194" s="335" t="s">
        <v>1833</v>
      </c>
      <c r="C194" s="311" t="s">
        <v>1810</v>
      </c>
      <c r="D194" s="311" t="s">
        <v>1810</v>
      </c>
      <c r="E194" s="311" t="s">
        <v>1810</v>
      </c>
      <c r="F194" s="299">
        <v>0</v>
      </c>
      <c r="G194" s="299">
        <v>0</v>
      </c>
      <c r="H194" s="299">
        <v>0</v>
      </c>
      <c r="I194" s="299">
        <v>0</v>
      </c>
      <c r="J194" s="299">
        <v>0</v>
      </c>
      <c r="K194" s="299">
        <v>0</v>
      </c>
      <c r="L194" s="299">
        <v>0</v>
      </c>
      <c r="M194" s="301"/>
      <c r="N194" s="302"/>
      <c r="O194" s="665"/>
    </row>
    <row r="195" spans="1:15" hidden="1" x14ac:dyDescent="0.25">
      <c r="A195" s="334">
        <v>2239</v>
      </c>
      <c r="B195" s="335" t="s">
        <v>1834</v>
      </c>
      <c r="C195" s="311" t="s">
        <v>1810</v>
      </c>
      <c r="D195" s="311" t="s">
        <v>1810</v>
      </c>
      <c r="E195" s="311" t="s">
        <v>1810</v>
      </c>
      <c r="F195" s="299">
        <v>0</v>
      </c>
      <c r="G195" s="299">
        <v>0</v>
      </c>
      <c r="H195" s="299">
        <v>0</v>
      </c>
      <c r="I195" s="299">
        <v>0</v>
      </c>
      <c r="J195" s="299">
        <v>0</v>
      </c>
      <c r="K195" s="299">
        <v>0</v>
      </c>
      <c r="L195" s="299">
        <v>0</v>
      </c>
      <c r="M195" s="301"/>
      <c r="N195" s="302"/>
      <c r="O195" s="665"/>
    </row>
    <row r="196" spans="1:15" hidden="1" x14ac:dyDescent="0.25">
      <c r="A196" s="334">
        <v>2300</v>
      </c>
      <c r="B196" s="335" t="s">
        <v>1835</v>
      </c>
      <c r="C196" s="311" t="s">
        <v>1810</v>
      </c>
      <c r="D196" s="311" t="s">
        <v>1810</v>
      </c>
      <c r="E196" s="311" t="s">
        <v>1810</v>
      </c>
      <c r="F196" s="299">
        <v>0</v>
      </c>
      <c r="G196" s="299">
        <v>0</v>
      </c>
      <c r="H196" s="299">
        <v>0</v>
      </c>
      <c r="I196" s="299">
        <v>0</v>
      </c>
      <c r="J196" s="299">
        <v>0</v>
      </c>
      <c r="K196" s="299">
        <v>0</v>
      </c>
      <c r="L196" s="299">
        <v>0</v>
      </c>
      <c r="M196" s="301"/>
      <c r="N196" s="302"/>
      <c r="O196" s="665"/>
    </row>
    <row r="197" spans="1:15" hidden="1" x14ac:dyDescent="0.25">
      <c r="A197" s="334">
        <v>2301</v>
      </c>
      <c r="B197" s="335" t="s">
        <v>1836</v>
      </c>
      <c r="C197" s="311" t="s">
        <v>1810</v>
      </c>
      <c r="D197" s="311" t="s">
        <v>1810</v>
      </c>
      <c r="E197" s="311" t="s">
        <v>1810</v>
      </c>
      <c r="F197" s="299">
        <v>0</v>
      </c>
      <c r="G197" s="299">
        <v>0</v>
      </c>
      <c r="H197" s="299">
        <v>0</v>
      </c>
      <c r="I197" s="299">
        <v>0</v>
      </c>
      <c r="J197" s="299">
        <v>0</v>
      </c>
      <c r="K197" s="299">
        <v>0</v>
      </c>
      <c r="L197" s="299">
        <v>0</v>
      </c>
      <c r="M197" s="301"/>
      <c r="N197" s="302"/>
      <c r="O197" s="665"/>
    </row>
    <row r="198" spans="1:15" hidden="1" x14ac:dyDescent="0.25">
      <c r="A198" s="334">
        <v>2303</v>
      </c>
      <c r="B198" s="335" t="s">
        <v>1837</v>
      </c>
      <c r="C198" s="311" t="s">
        <v>1810</v>
      </c>
      <c r="D198" s="311" t="s">
        <v>1810</v>
      </c>
      <c r="E198" s="311" t="s">
        <v>1810</v>
      </c>
      <c r="F198" s="299">
        <v>0</v>
      </c>
      <c r="G198" s="299">
        <v>0</v>
      </c>
      <c r="H198" s="299">
        <v>0</v>
      </c>
      <c r="I198" s="299">
        <v>0</v>
      </c>
      <c r="J198" s="299">
        <v>0</v>
      </c>
      <c r="K198" s="299">
        <v>0</v>
      </c>
      <c r="L198" s="299">
        <v>0</v>
      </c>
      <c r="M198" s="301"/>
      <c r="N198" s="302"/>
      <c r="O198" s="665"/>
    </row>
    <row r="199" spans="1:15" hidden="1" x14ac:dyDescent="0.25">
      <c r="A199" s="334">
        <v>2305</v>
      </c>
      <c r="B199" s="335" t="s">
        <v>1838</v>
      </c>
      <c r="C199" s="311" t="s">
        <v>1810</v>
      </c>
      <c r="D199" s="311" t="s">
        <v>1810</v>
      </c>
      <c r="E199" s="311" t="s">
        <v>1810</v>
      </c>
      <c r="F199" s="299">
        <v>0</v>
      </c>
      <c r="G199" s="299">
        <v>0</v>
      </c>
      <c r="H199" s="299">
        <v>0</v>
      </c>
      <c r="I199" s="299">
        <v>0</v>
      </c>
      <c r="J199" s="299">
        <v>0</v>
      </c>
      <c r="K199" s="299">
        <v>0</v>
      </c>
      <c r="L199" s="299">
        <v>0</v>
      </c>
      <c r="M199" s="301"/>
      <c r="N199" s="302"/>
      <c r="O199" s="665"/>
    </row>
    <row r="200" spans="1:15" hidden="1" x14ac:dyDescent="0.25">
      <c r="A200" s="334">
        <v>2307</v>
      </c>
      <c r="B200" s="335" t="s">
        <v>1839</v>
      </c>
      <c r="C200" s="311" t="s">
        <v>1810</v>
      </c>
      <c r="D200" s="311" t="s">
        <v>1810</v>
      </c>
      <c r="E200" s="311" t="s">
        <v>1810</v>
      </c>
      <c r="F200" s="299">
        <v>0</v>
      </c>
      <c r="G200" s="299">
        <v>0</v>
      </c>
      <c r="H200" s="299">
        <v>0</v>
      </c>
      <c r="I200" s="299">
        <v>0</v>
      </c>
      <c r="J200" s="299">
        <v>0</v>
      </c>
      <c r="K200" s="299">
        <v>0</v>
      </c>
      <c r="L200" s="299">
        <v>0</v>
      </c>
      <c r="M200" s="301"/>
      <c r="N200" s="302"/>
      <c r="O200" s="665"/>
    </row>
    <row r="201" spans="1:15" hidden="1" x14ac:dyDescent="0.25">
      <c r="A201" s="334">
        <v>2309</v>
      </c>
      <c r="B201" s="335" t="s">
        <v>1840</v>
      </c>
      <c r="C201" s="311" t="s">
        <v>1810</v>
      </c>
      <c r="D201" s="311" t="s">
        <v>1810</v>
      </c>
      <c r="E201" s="311" t="s">
        <v>1810</v>
      </c>
      <c r="F201" s="299">
        <v>0</v>
      </c>
      <c r="G201" s="299">
        <v>0</v>
      </c>
      <c r="H201" s="299">
        <v>0</v>
      </c>
      <c r="I201" s="299">
        <v>0</v>
      </c>
      <c r="J201" s="299">
        <v>0</v>
      </c>
      <c r="K201" s="299">
        <v>0</v>
      </c>
      <c r="L201" s="299">
        <v>0</v>
      </c>
      <c r="M201" s="301"/>
      <c r="N201" s="302"/>
      <c r="O201" s="665"/>
    </row>
    <row r="202" spans="1:15" hidden="1" x14ac:dyDescent="0.25">
      <c r="A202" s="334">
        <v>2313</v>
      </c>
      <c r="B202" s="335" t="s">
        <v>1841</v>
      </c>
      <c r="C202" s="311" t="s">
        <v>1810</v>
      </c>
      <c r="D202" s="311" t="s">
        <v>1810</v>
      </c>
      <c r="E202" s="311" t="s">
        <v>1810</v>
      </c>
      <c r="F202" s="299">
        <v>0</v>
      </c>
      <c r="G202" s="299">
        <v>0</v>
      </c>
      <c r="H202" s="299">
        <v>0</v>
      </c>
      <c r="I202" s="299">
        <v>0</v>
      </c>
      <c r="J202" s="299">
        <v>0</v>
      </c>
      <c r="K202" s="299">
        <v>0</v>
      </c>
      <c r="L202" s="299">
        <v>0</v>
      </c>
      <c r="M202" s="301"/>
      <c r="N202" s="302"/>
      <c r="O202" s="665"/>
    </row>
    <row r="203" spans="1:15" hidden="1" x14ac:dyDescent="0.25">
      <c r="A203" s="334">
        <v>2314</v>
      </c>
      <c r="B203" s="335" t="s">
        <v>1842</v>
      </c>
      <c r="C203" s="311" t="s">
        <v>1810</v>
      </c>
      <c r="D203" s="311" t="s">
        <v>1810</v>
      </c>
      <c r="E203" s="311" t="s">
        <v>1810</v>
      </c>
      <c r="F203" s="299">
        <v>0</v>
      </c>
      <c r="G203" s="299">
        <v>0</v>
      </c>
      <c r="H203" s="299">
        <v>0</v>
      </c>
      <c r="I203" s="299">
        <v>0</v>
      </c>
      <c r="J203" s="299">
        <v>0</v>
      </c>
      <c r="K203" s="299">
        <v>0</v>
      </c>
      <c r="L203" s="299">
        <v>0</v>
      </c>
      <c r="M203" s="301"/>
      <c r="N203" s="302"/>
      <c r="O203" s="665"/>
    </row>
    <row r="204" spans="1:15" hidden="1" x14ac:dyDescent="0.25">
      <c r="A204" s="334">
        <v>2315</v>
      </c>
      <c r="B204" s="335" t="s">
        <v>1843</v>
      </c>
      <c r="C204" s="311" t="s">
        <v>1810</v>
      </c>
      <c r="D204" s="311" t="s">
        <v>1810</v>
      </c>
      <c r="E204" s="311" t="s">
        <v>1810</v>
      </c>
      <c r="F204" s="299">
        <v>0</v>
      </c>
      <c r="G204" s="299">
        <v>0</v>
      </c>
      <c r="H204" s="299">
        <v>0</v>
      </c>
      <c r="I204" s="299">
        <v>0</v>
      </c>
      <c r="J204" s="299">
        <v>0</v>
      </c>
      <c r="K204" s="299">
        <v>0</v>
      </c>
      <c r="L204" s="299">
        <v>0</v>
      </c>
      <c r="M204" s="301"/>
      <c r="N204" s="302"/>
      <c r="O204" s="665"/>
    </row>
    <row r="205" spans="1:15" hidden="1" x14ac:dyDescent="0.25">
      <c r="A205" s="334">
        <v>2317</v>
      </c>
      <c r="B205" s="335" t="s">
        <v>1844</v>
      </c>
      <c r="C205" s="311" t="s">
        <v>1810</v>
      </c>
      <c r="D205" s="311" t="s">
        <v>1810</v>
      </c>
      <c r="E205" s="311" t="s">
        <v>1810</v>
      </c>
      <c r="F205" s="299">
        <v>0</v>
      </c>
      <c r="G205" s="299">
        <v>0</v>
      </c>
      <c r="H205" s="299">
        <v>0</v>
      </c>
      <c r="I205" s="299">
        <v>0</v>
      </c>
      <c r="J205" s="299">
        <v>0</v>
      </c>
      <c r="K205" s="299">
        <v>0</v>
      </c>
      <c r="L205" s="299">
        <v>0</v>
      </c>
      <c r="M205" s="301"/>
      <c r="N205" s="302"/>
      <c r="O205" s="665"/>
    </row>
    <row r="206" spans="1:15" hidden="1" x14ac:dyDescent="0.25">
      <c r="A206" s="334">
        <v>2318</v>
      </c>
      <c r="B206" s="335" t="s">
        <v>1845</v>
      </c>
      <c r="C206" s="311" t="s">
        <v>1810</v>
      </c>
      <c r="D206" s="311" t="s">
        <v>1810</v>
      </c>
      <c r="E206" s="311" t="s">
        <v>1810</v>
      </c>
      <c r="F206" s="299">
        <v>0</v>
      </c>
      <c r="G206" s="299">
        <v>0</v>
      </c>
      <c r="H206" s="299">
        <v>0</v>
      </c>
      <c r="I206" s="299">
        <v>0</v>
      </c>
      <c r="J206" s="299">
        <v>0</v>
      </c>
      <c r="K206" s="299">
        <v>0</v>
      </c>
      <c r="L206" s="299">
        <v>0</v>
      </c>
      <c r="M206" s="301"/>
      <c r="N206" s="302"/>
      <c r="O206" s="665"/>
    </row>
    <row r="207" spans="1:15" hidden="1" x14ac:dyDescent="0.25">
      <c r="A207" s="334">
        <v>2319</v>
      </c>
      <c r="B207" s="335" t="s">
        <v>1846</v>
      </c>
      <c r="C207" s="311" t="s">
        <v>1810</v>
      </c>
      <c r="D207" s="311" t="s">
        <v>1810</v>
      </c>
      <c r="E207" s="311" t="s">
        <v>1810</v>
      </c>
      <c r="F207" s="299">
        <v>0</v>
      </c>
      <c r="G207" s="299">
        <v>0</v>
      </c>
      <c r="H207" s="299">
        <v>0</v>
      </c>
      <c r="I207" s="299">
        <v>0</v>
      </c>
      <c r="J207" s="299">
        <v>0</v>
      </c>
      <c r="K207" s="299">
        <v>0</v>
      </c>
      <c r="L207" s="299">
        <v>0</v>
      </c>
      <c r="M207" s="301"/>
      <c r="N207" s="302"/>
      <c r="O207" s="665"/>
    </row>
    <row r="208" spans="1:15" hidden="1" x14ac:dyDescent="0.25">
      <c r="A208" s="334">
        <v>2324</v>
      </c>
      <c r="B208" s="335" t="s">
        <v>1847</v>
      </c>
      <c r="C208" s="311" t="s">
        <v>1810</v>
      </c>
      <c r="D208" s="311" t="s">
        <v>1810</v>
      </c>
      <c r="E208" s="311" t="s">
        <v>1810</v>
      </c>
      <c r="F208" s="299">
        <v>0</v>
      </c>
      <c r="G208" s="299">
        <v>0</v>
      </c>
      <c r="H208" s="299">
        <v>0</v>
      </c>
      <c r="I208" s="299">
        <v>0</v>
      </c>
      <c r="J208" s="299">
        <v>0</v>
      </c>
      <c r="K208" s="299">
        <v>0</v>
      </c>
      <c r="L208" s="299">
        <v>0</v>
      </c>
      <c r="M208" s="301"/>
      <c r="N208" s="302"/>
      <c r="O208" s="665"/>
    </row>
    <row r="209" spans="1:15" hidden="1" x14ac:dyDescent="0.25">
      <c r="A209" s="334">
        <v>2325</v>
      </c>
      <c r="B209" s="335" t="s">
        <v>1848</v>
      </c>
      <c r="C209" s="311" t="s">
        <v>1810</v>
      </c>
      <c r="D209" s="311" t="s">
        <v>1810</v>
      </c>
      <c r="E209" s="311" t="s">
        <v>1810</v>
      </c>
      <c r="F209" s="299">
        <v>0</v>
      </c>
      <c r="G209" s="299">
        <v>0</v>
      </c>
      <c r="H209" s="299">
        <v>0</v>
      </c>
      <c r="I209" s="299">
        <v>0</v>
      </c>
      <c r="J209" s="299">
        <v>0</v>
      </c>
      <c r="K209" s="299">
        <v>0</v>
      </c>
      <c r="L209" s="299">
        <v>0</v>
      </c>
      <c r="M209" s="301"/>
      <c r="N209" s="302"/>
      <c r="O209" s="665"/>
    </row>
    <row r="210" spans="1:15" hidden="1" x14ac:dyDescent="0.25">
      <c r="A210" s="334">
        <v>2326</v>
      </c>
      <c r="B210" s="335" t="s">
        <v>1849</v>
      </c>
      <c r="C210" s="311" t="s">
        <v>1810</v>
      </c>
      <c r="D210" s="311" t="s">
        <v>1810</v>
      </c>
      <c r="E210" s="311" t="s">
        <v>1810</v>
      </c>
      <c r="F210" s="299">
        <v>0</v>
      </c>
      <c r="G210" s="299">
        <v>0</v>
      </c>
      <c r="H210" s="299">
        <v>0</v>
      </c>
      <c r="I210" s="299">
        <v>0</v>
      </c>
      <c r="J210" s="299">
        <v>0</v>
      </c>
      <c r="K210" s="299">
        <v>0</v>
      </c>
      <c r="L210" s="299">
        <v>0</v>
      </c>
      <c r="M210" s="301"/>
      <c r="N210" s="302"/>
      <c r="O210" s="665"/>
    </row>
    <row r="211" spans="1:15" hidden="1" x14ac:dyDescent="0.25">
      <c r="A211" s="334">
        <v>2327</v>
      </c>
      <c r="B211" s="335" t="s">
        <v>1850</v>
      </c>
      <c r="C211" s="311" t="s">
        <v>1810</v>
      </c>
      <c r="D211" s="311" t="s">
        <v>1810</v>
      </c>
      <c r="E211" s="311" t="s">
        <v>1810</v>
      </c>
      <c r="F211" s="299">
        <v>0</v>
      </c>
      <c r="G211" s="299">
        <v>0</v>
      </c>
      <c r="H211" s="299">
        <v>0</v>
      </c>
      <c r="I211" s="299">
        <v>0</v>
      </c>
      <c r="J211" s="299">
        <v>0</v>
      </c>
      <c r="K211" s="299">
        <v>0</v>
      </c>
      <c r="L211" s="299">
        <v>0</v>
      </c>
      <c r="M211" s="301"/>
      <c r="N211" s="302"/>
      <c r="O211" s="665"/>
    </row>
    <row r="212" spans="1:15" hidden="1" x14ac:dyDescent="0.25">
      <c r="A212" s="334">
        <v>2328</v>
      </c>
      <c r="B212" s="335" t="s">
        <v>1851</v>
      </c>
      <c r="C212" s="311" t="s">
        <v>1810</v>
      </c>
      <c r="D212" s="311" t="s">
        <v>1810</v>
      </c>
      <c r="E212" s="311" t="s">
        <v>1810</v>
      </c>
      <c r="F212" s="299">
        <v>0</v>
      </c>
      <c r="G212" s="299">
        <v>0</v>
      </c>
      <c r="H212" s="299">
        <v>0</v>
      </c>
      <c r="I212" s="299">
        <v>0</v>
      </c>
      <c r="J212" s="299">
        <v>0</v>
      </c>
      <c r="K212" s="299">
        <v>0</v>
      </c>
      <c r="L212" s="299">
        <v>0</v>
      </c>
      <c r="M212" s="301"/>
      <c r="N212" s="302"/>
      <c r="O212" s="665"/>
    </row>
    <row r="213" spans="1:15" hidden="1" x14ac:dyDescent="0.25">
      <c r="A213" s="334">
        <v>2331</v>
      </c>
      <c r="B213" s="335" t="s">
        <v>1852</v>
      </c>
      <c r="C213" s="311" t="s">
        <v>1810</v>
      </c>
      <c r="D213" s="311" t="s">
        <v>1810</v>
      </c>
      <c r="E213" s="311" t="s">
        <v>1810</v>
      </c>
      <c r="F213" s="299">
        <v>0</v>
      </c>
      <c r="G213" s="299">
        <v>0</v>
      </c>
      <c r="H213" s="299">
        <v>0</v>
      </c>
      <c r="I213" s="299">
        <v>0</v>
      </c>
      <c r="J213" s="299">
        <v>0</v>
      </c>
      <c r="K213" s="299">
        <v>0</v>
      </c>
      <c r="L213" s="299">
        <v>0</v>
      </c>
      <c r="M213" s="301"/>
      <c r="N213" s="302"/>
      <c r="O213" s="665"/>
    </row>
    <row r="214" spans="1:15" hidden="1" x14ac:dyDescent="0.25">
      <c r="A214" s="334">
        <v>2500</v>
      </c>
      <c r="B214" s="335" t="s">
        <v>1853</v>
      </c>
      <c r="C214" s="311" t="s">
        <v>1810</v>
      </c>
      <c r="D214" s="311" t="s">
        <v>1810</v>
      </c>
      <c r="E214" s="311" t="s">
        <v>1810</v>
      </c>
      <c r="F214" s="299">
        <v>0</v>
      </c>
      <c r="G214" s="299">
        <v>0</v>
      </c>
      <c r="H214" s="299">
        <v>0</v>
      </c>
      <c r="I214" s="299">
        <v>0</v>
      </c>
      <c r="J214" s="299">
        <v>0</v>
      </c>
      <c r="K214" s="299">
        <v>0</v>
      </c>
      <c r="L214" s="299">
        <v>0</v>
      </c>
      <c r="M214" s="301"/>
      <c r="N214" s="302"/>
      <c r="O214" s="665"/>
    </row>
    <row r="215" spans="1:15" hidden="1" x14ac:dyDescent="0.25">
      <c r="A215" s="334">
        <v>2501</v>
      </c>
      <c r="B215" s="335" t="s">
        <v>1854</v>
      </c>
      <c r="C215" s="311" t="s">
        <v>1810</v>
      </c>
      <c r="D215" s="311" t="s">
        <v>1810</v>
      </c>
      <c r="E215" s="311" t="s">
        <v>1810</v>
      </c>
      <c r="F215" s="299">
        <v>0</v>
      </c>
      <c r="G215" s="299">
        <v>0</v>
      </c>
      <c r="H215" s="299">
        <v>0</v>
      </c>
      <c r="I215" s="299">
        <v>0</v>
      </c>
      <c r="J215" s="299">
        <v>0</v>
      </c>
      <c r="K215" s="299">
        <v>0</v>
      </c>
      <c r="L215" s="299">
        <v>0</v>
      </c>
      <c r="M215" s="301"/>
      <c r="N215" s="302"/>
      <c r="O215" s="665"/>
    </row>
    <row r="216" spans="1:15" hidden="1" x14ac:dyDescent="0.25">
      <c r="A216" s="334">
        <v>2503</v>
      </c>
      <c r="B216" s="335" t="s">
        <v>1855</v>
      </c>
      <c r="C216" s="311" t="s">
        <v>1810</v>
      </c>
      <c r="D216" s="311" t="s">
        <v>1810</v>
      </c>
      <c r="E216" s="311" t="s">
        <v>1810</v>
      </c>
      <c r="F216" s="299">
        <v>0</v>
      </c>
      <c r="G216" s="299">
        <v>0</v>
      </c>
      <c r="H216" s="299">
        <v>0</v>
      </c>
      <c r="I216" s="299">
        <v>0</v>
      </c>
      <c r="J216" s="299">
        <v>0</v>
      </c>
      <c r="K216" s="299">
        <v>0</v>
      </c>
      <c r="L216" s="299">
        <v>0</v>
      </c>
      <c r="M216" s="301"/>
      <c r="N216" s="302"/>
      <c r="O216" s="665"/>
    </row>
    <row r="217" spans="1:15" hidden="1" x14ac:dyDescent="0.25">
      <c r="A217" s="334">
        <v>2510</v>
      </c>
      <c r="B217" s="335" t="s">
        <v>1856</v>
      </c>
      <c r="C217" s="311" t="s">
        <v>1810</v>
      </c>
      <c r="D217" s="311" t="s">
        <v>1810</v>
      </c>
      <c r="E217" s="311" t="s">
        <v>1810</v>
      </c>
      <c r="F217" s="299">
        <v>0</v>
      </c>
      <c r="G217" s="299">
        <v>0</v>
      </c>
      <c r="H217" s="299">
        <v>0</v>
      </c>
      <c r="I217" s="299">
        <v>0</v>
      </c>
      <c r="J217" s="299">
        <v>0</v>
      </c>
      <c r="K217" s="299">
        <v>0</v>
      </c>
      <c r="L217" s="299">
        <v>0</v>
      </c>
      <c r="M217" s="301"/>
      <c r="N217" s="302"/>
      <c r="O217" s="665"/>
    </row>
    <row r="218" spans="1:15" hidden="1" x14ac:dyDescent="0.25">
      <c r="A218" s="334">
        <v>2512</v>
      </c>
      <c r="B218" s="335" t="s">
        <v>1857</v>
      </c>
      <c r="C218" s="311" t="s">
        <v>1810</v>
      </c>
      <c r="D218" s="311" t="s">
        <v>1810</v>
      </c>
      <c r="E218" s="311" t="s">
        <v>1810</v>
      </c>
      <c r="F218" s="299">
        <v>0</v>
      </c>
      <c r="G218" s="299">
        <v>0</v>
      </c>
      <c r="H218" s="299">
        <v>0</v>
      </c>
      <c r="I218" s="299">
        <v>0</v>
      </c>
      <c r="J218" s="299">
        <v>0</v>
      </c>
      <c r="K218" s="299">
        <v>0</v>
      </c>
      <c r="L218" s="299">
        <v>0</v>
      </c>
      <c r="M218" s="301"/>
      <c r="N218" s="302"/>
      <c r="O218" s="665"/>
    </row>
    <row r="219" spans="1:15" hidden="1" x14ac:dyDescent="0.25">
      <c r="A219" s="334">
        <v>2514</v>
      </c>
      <c r="B219" s="335" t="s">
        <v>1858</v>
      </c>
      <c r="C219" s="311" t="s">
        <v>1810</v>
      </c>
      <c r="D219" s="311" t="s">
        <v>1810</v>
      </c>
      <c r="E219" s="311" t="s">
        <v>1810</v>
      </c>
      <c r="F219" s="299">
        <v>0</v>
      </c>
      <c r="G219" s="299">
        <v>0</v>
      </c>
      <c r="H219" s="299">
        <v>0</v>
      </c>
      <c r="I219" s="299">
        <v>0</v>
      </c>
      <c r="J219" s="299">
        <v>0</v>
      </c>
      <c r="K219" s="299">
        <v>0</v>
      </c>
      <c r="L219" s="299">
        <v>0</v>
      </c>
      <c r="M219" s="301"/>
      <c r="N219" s="302"/>
      <c r="O219" s="665"/>
    </row>
    <row r="220" spans="1:15" hidden="1" x14ac:dyDescent="0.25">
      <c r="A220" s="334">
        <v>2522</v>
      </c>
      <c r="B220" s="335" t="s">
        <v>1859</v>
      </c>
      <c r="C220" s="311" t="s">
        <v>1810</v>
      </c>
      <c r="D220" s="311" t="s">
        <v>1810</v>
      </c>
      <c r="E220" s="311" t="s">
        <v>1810</v>
      </c>
      <c r="F220" s="299">
        <v>0</v>
      </c>
      <c r="G220" s="299">
        <v>0</v>
      </c>
      <c r="H220" s="299">
        <v>0</v>
      </c>
      <c r="I220" s="299">
        <v>0</v>
      </c>
      <c r="J220" s="299">
        <v>0</v>
      </c>
      <c r="K220" s="299">
        <v>0</v>
      </c>
      <c r="L220" s="299">
        <v>0</v>
      </c>
      <c r="M220" s="301"/>
      <c r="N220" s="302"/>
      <c r="O220" s="665"/>
    </row>
    <row r="221" spans="1:15" hidden="1" x14ac:dyDescent="0.25">
      <c r="A221" s="334">
        <v>2523</v>
      </c>
      <c r="B221" s="335" t="s">
        <v>1860</v>
      </c>
      <c r="C221" s="311" t="s">
        <v>1810</v>
      </c>
      <c r="D221" s="311" t="s">
        <v>1810</v>
      </c>
      <c r="E221" s="311" t="s">
        <v>1810</v>
      </c>
      <c r="F221" s="299">
        <v>0</v>
      </c>
      <c r="G221" s="299">
        <v>0</v>
      </c>
      <c r="H221" s="299">
        <v>0</v>
      </c>
      <c r="I221" s="299">
        <v>0</v>
      </c>
      <c r="J221" s="299">
        <v>0</v>
      </c>
      <c r="K221" s="299">
        <v>0</v>
      </c>
      <c r="L221" s="299">
        <v>0</v>
      </c>
      <c r="M221" s="301"/>
      <c r="N221" s="302"/>
      <c r="O221" s="665"/>
    </row>
    <row r="222" spans="1:15" hidden="1" x14ac:dyDescent="0.25">
      <c r="A222" s="334">
        <v>2524</v>
      </c>
      <c r="B222" s="335" t="s">
        <v>1861</v>
      </c>
      <c r="C222" s="311" t="s">
        <v>1810</v>
      </c>
      <c r="D222" s="311" t="s">
        <v>1810</v>
      </c>
      <c r="E222" s="311" t="s">
        <v>1810</v>
      </c>
      <c r="F222" s="299">
        <v>0</v>
      </c>
      <c r="G222" s="299">
        <v>0</v>
      </c>
      <c r="H222" s="299">
        <v>0</v>
      </c>
      <c r="I222" s="299">
        <v>0</v>
      </c>
      <c r="J222" s="299">
        <v>0</v>
      </c>
      <c r="K222" s="299">
        <v>0</v>
      </c>
      <c r="L222" s="299">
        <v>0</v>
      </c>
      <c r="M222" s="301"/>
      <c r="N222" s="302"/>
      <c r="O222" s="665"/>
    </row>
    <row r="223" spans="1:15" hidden="1" x14ac:dyDescent="0.25">
      <c r="A223" s="334">
        <v>2525</v>
      </c>
      <c r="B223" s="335" t="s">
        <v>1862</v>
      </c>
      <c r="C223" s="311" t="s">
        <v>1810</v>
      </c>
      <c r="D223" s="311" t="s">
        <v>1810</v>
      </c>
      <c r="E223" s="311" t="s">
        <v>1810</v>
      </c>
      <c r="F223" s="299">
        <v>0</v>
      </c>
      <c r="G223" s="299">
        <v>0</v>
      </c>
      <c r="H223" s="299">
        <v>0</v>
      </c>
      <c r="I223" s="299">
        <v>0</v>
      </c>
      <c r="J223" s="299">
        <v>0</v>
      </c>
      <c r="K223" s="299">
        <v>0</v>
      </c>
      <c r="L223" s="299">
        <v>0</v>
      </c>
      <c r="M223" s="301"/>
      <c r="N223" s="302"/>
      <c r="O223" s="665"/>
    </row>
    <row r="224" spans="1:15" hidden="1" x14ac:dyDescent="0.25">
      <c r="A224" s="334">
        <v>2526</v>
      </c>
      <c r="B224" s="335" t="s">
        <v>1863</v>
      </c>
      <c r="C224" s="311" t="s">
        <v>1810</v>
      </c>
      <c r="D224" s="311" t="s">
        <v>1810</v>
      </c>
      <c r="E224" s="311" t="s">
        <v>1810</v>
      </c>
      <c r="F224" s="299">
        <v>0</v>
      </c>
      <c r="G224" s="299">
        <v>0</v>
      </c>
      <c r="H224" s="299">
        <v>0</v>
      </c>
      <c r="I224" s="299">
        <v>0</v>
      </c>
      <c r="J224" s="299">
        <v>0</v>
      </c>
      <c r="K224" s="299">
        <v>0</v>
      </c>
      <c r="L224" s="299">
        <v>0</v>
      </c>
      <c r="M224" s="301"/>
      <c r="N224" s="302"/>
      <c r="O224" s="665"/>
    </row>
    <row r="225" spans="1:15" hidden="1" x14ac:dyDescent="0.25">
      <c r="A225" s="334">
        <v>2553</v>
      </c>
      <c r="B225" s="335" t="s">
        <v>1864</v>
      </c>
      <c r="C225" s="311" t="s">
        <v>1810</v>
      </c>
      <c r="D225" s="311" t="s">
        <v>1810</v>
      </c>
      <c r="E225" s="311" t="s">
        <v>1810</v>
      </c>
      <c r="F225" s="299">
        <v>0</v>
      </c>
      <c r="G225" s="299">
        <v>0</v>
      </c>
      <c r="H225" s="299">
        <v>0</v>
      </c>
      <c r="I225" s="299">
        <v>0</v>
      </c>
      <c r="J225" s="299">
        <v>0</v>
      </c>
      <c r="K225" s="299">
        <v>0</v>
      </c>
      <c r="L225" s="299">
        <v>0</v>
      </c>
      <c r="M225" s="301"/>
      <c r="N225" s="302"/>
      <c r="O225" s="665"/>
    </row>
    <row r="226" spans="1:15" hidden="1" x14ac:dyDescent="0.25">
      <c r="A226" s="334">
        <v>2556</v>
      </c>
      <c r="B226" s="335" t="s">
        <v>1865</v>
      </c>
      <c r="C226" s="311" t="s">
        <v>1810</v>
      </c>
      <c r="D226" s="311" t="s">
        <v>1810</v>
      </c>
      <c r="E226" s="311" t="s">
        <v>1810</v>
      </c>
      <c r="F226" s="299">
        <v>0</v>
      </c>
      <c r="G226" s="299">
        <v>40797.770000000004</v>
      </c>
      <c r="H226" s="299">
        <v>25498.720000000001</v>
      </c>
      <c r="I226" s="299">
        <v>0</v>
      </c>
      <c r="J226" s="299">
        <v>0</v>
      </c>
      <c r="K226" s="299">
        <v>0</v>
      </c>
      <c r="L226" s="299">
        <v>66296</v>
      </c>
      <c r="M226" s="301"/>
      <c r="N226" s="302"/>
      <c r="O226" s="665"/>
    </row>
    <row r="227" spans="1:15" hidden="1" x14ac:dyDescent="0.25">
      <c r="A227" s="334">
        <v>2557</v>
      </c>
      <c r="B227" s="335" t="s">
        <v>1866</v>
      </c>
      <c r="C227" s="311" t="s">
        <v>1810</v>
      </c>
      <c r="D227" s="311" t="s">
        <v>1810</v>
      </c>
      <c r="E227" s="311" t="s">
        <v>1810</v>
      </c>
      <c r="F227" s="299">
        <v>0</v>
      </c>
      <c r="G227" s="299">
        <v>0</v>
      </c>
      <c r="H227" s="299">
        <v>0</v>
      </c>
      <c r="I227" s="299">
        <v>0</v>
      </c>
      <c r="J227" s="299">
        <v>0</v>
      </c>
      <c r="K227" s="299">
        <v>0</v>
      </c>
      <c r="L227" s="299">
        <v>0</v>
      </c>
      <c r="M227" s="301"/>
      <c r="N227" s="302"/>
      <c r="O227" s="665"/>
    </row>
    <row r="228" spans="1:15" hidden="1" x14ac:dyDescent="0.25">
      <c r="A228" s="334">
        <v>2560</v>
      </c>
      <c r="B228" s="335" t="s">
        <v>1856</v>
      </c>
      <c r="C228" s="311" t="s">
        <v>1810</v>
      </c>
      <c r="D228" s="311" t="s">
        <v>1810</v>
      </c>
      <c r="E228" s="311" t="s">
        <v>1810</v>
      </c>
      <c r="F228" s="299">
        <v>0</v>
      </c>
      <c r="G228" s="299">
        <v>0</v>
      </c>
      <c r="H228" s="299">
        <v>0</v>
      </c>
      <c r="I228" s="299">
        <v>0</v>
      </c>
      <c r="J228" s="299">
        <v>0</v>
      </c>
      <c r="K228" s="299">
        <v>0</v>
      </c>
      <c r="L228" s="299">
        <v>0</v>
      </c>
      <c r="M228" s="301"/>
      <c r="N228" s="302"/>
      <c r="O228" s="665"/>
    </row>
    <row r="229" spans="1:15" hidden="1" x14ac:dyDescent="0.25">
      <c r="A229" s="334">
        <v>2561</v>
      </c>
      <c r="B229" s="335" t="s">
        <v>1867</v>
      </c>
      <c r="C229" s="311" t="s">
        <v>1810</v>
      </c>
      <c r="D229" s="311" t="s">
        <v>1810</v>
      </c>
      <c r="E229" s="311" t="s">
        <v>1810</v>
      </c>
      <c r="F229" s="299">
        <v>0</v>
      </c>
      <c r="G229" s="299">
        <v>0</v>
      </c>
      <c r="H229" s="299">
        <v>0</v>
      </c>
      <c r="I229" s="299">
        <v>0</v>
      </c>
      <c r="J229" s="299">
        <v>0</v>
      </c>
      <c r="K229" s="299">
        <v>0</v>
      </c>
      <c r="L229" s="299">
        <v>0</v>
      </c>
      <c r="M229" s="301"/>
      <c r="N229" s="302"/>
      <c r="O229" s="665"/>
    </row>
    <row r="230" spans="1:15" hidden="1" x14ac:dyDescent="0.25">
      <c r="A230" s="334">
        <v>2570</v>
      </c>
      <c r="B230" s="335" t="s">
        <v>1868</v>
      </c>
      <c r="C230" s="311" t="s">
        <v>1810</v>
      </c>
      <c r="D230" s="311" t="s">
        <v>1810</v>
      </c>
      <c r="E230" s="311" t="s">
        <v>1810</v>
      </c>
      <c r="F230" s="299">
        <v>0</v>
      </c>
      <c r="G230" s="299">
        <v>0</v>
      </c>
      <c r="H230" s="299">
        <v>0</v>
      </c>
      <c r="I230" s="299">
        <v>0</v>
      </c>
      <c r="J230" s="299">
        <v>0</v>
      </c>
      <c r="K230" s="299">
        <v>0</v>
      </c>
      <c r="L230" s="299">
        <v>0</v>
      </c>
      <c r="M230" s="301"/>
      <c r="N230" s="302"/>
      <c r="O230" s="665"/>
    </row>
    <row r="231" spans="1:15" hidden="1" x14ac:dyDescent="0.25">
      <c r="A231" s="334">
        <v>2571</v>
      </c>
      <c r="B231" s="335" t="s">
        <v>1869</v>
      </c>
      <c r="C231" s="311" t="s">
        <v>1810</v>
      </c>
      <c r="D231" s="311" t="s">
        <v>1810</v>
      </c>
      <c r="E231" s="311" t="s">
        <v>1810</v>
      </c>
      <c r="F231" s="299">
        <v>0</v>
      </c>
      <c r="G231" s="299">
        <v>0</v>
      </c>
      <c r="H231" s="299">
        <v>0</v>
      </c>
      <c r="I231" s="299">
        <v>0</v>
      </c>
      <c r="J231" s="299">
        <v>0</v>
      </c>
      <c r="K231" s="299">
        <v>0</v>
      </c>
      <c r="L231" s="299">
        <v>0</v>
      </c>
      <c r="M231" s="301"/>
      <c r="N231" s="302"/>
      <c r="O231" s="665"/>
    </row>
    <row r="232" spans="1:15" hidden="1" x14ac:dyDescent="0.25">
      <c r="A232" s="334">
        <v>2582</v>
      </c>
      <c r="B232" s="335" t="s">
        <v>1870</v>
      </c>
      <c r="C232" s="311" t="s">
        <v>1810</v>
      </c>
      <c r="D232" s="311" t="s">
        <v>1810</v>
      </c>
      <c r="E232" s="311" t="s">
        <v>1810</v>
      </c>
      <c r="F232" s="299">
        <v>0</v>
      </c>
      <c r="G232" s="299">
        <v>0</v>
      </c>
      <c r="H232" s="299">
        <v>0</v>
      </c>
      <c r="I232" s="299">
        <v>0</v>
      </c>
      <c r="J232" s="299">
        <v>0</v>
      </c>
      <c r="K232" s="299">
        <v>0</v>
      </c>
      <c r="L232" s="299">
        <v>0</v>
      </c>
      <c r="M232" s="301"/>
      <c r="N232" s="302"/>
      <c r="O232" s="665"/>
    </row>
    <row r="233" spans="1:15" hidden="1" x14ac:dyDescent="0.25">
      <c r="A233" s="334">
        <v>2598</v>
      </c>
      <c r="B233" s="335" t="s">
        <v>1871</v>
      </c>
      <c r="C233" s="311" t="s">
        <v>1810</v>
      </c>
      <c r="D233" s="311" t="s">
        <v>1810</v>
      </c>
      <c r="E233" s="311" t="s">
        <v>1810</v>
      </c>
      <c r="F233" s="299">
        <v>0</v>
      </c>
      <c r="G233" s="299">
        <v>0</v>
      </c>
      <c r="H233" s="299">
        <v>0</v>
      </c>
      <c r="I233" s="299">
        <v>0</v>
      </c>
      <c r="J233" s="299">
        <v>0</v>
      </c>
      <c r="K233" s="299">
        <v>0</v>
      </c>
      <c r="L233" s="299">
        <v>0</v>
      </c>
      <c r="M233" s="301"/>
      <c r="N233" s="302"/>
      <c r="O233" s="665"/>
    </row>
    <row r="234" spans="1:15" hidden="1" x14ac:dyDescent="0.25">
      <c r="A234" s="334">
        <v>3717</v>
      </c>
      <c r="B234" s="335" t="s">
        <v>1872</v>
      </c>
      <c r="C234" s="311" t="s">
        <v>1810</v>
      </c>
      <c r="D234" s="311" t="s">
        <v>1810</v>
      </c>
      <c r="E234" s="311" t="s">
        <v>1810</v>
      </c>
      <c r="F234" s="299">
        <v>0</v>
      </c>
      <c r="G234" s="299">
        <v>0</v>
      </c>
      <c r="H234" s="299">
        <v>0</v>
      </c>
      <c r="I234" s="299">
        <v>0</v>
      </c>
      <c r="J234" s="299">
        <v>0</v>
      </c>
      <c r="K234" s="299">
        <v>0</v>
      </c>
      <c r="L234" s="299">
        <v>0</v>
      </c>
      <c r="M234" s="301"/>
      <c r="N234" s="302"/>
      <c r="O234" s="665"/>
    </row>
    <row r="235" spans="1:15" hidden="1" x14ac:dyDescent="0.25">
      <c r="A235" s="334">
        <v>5000</v>
      </c>
      <c r="B235" s="335" t="s">
        <v>1873</v>
      </c>
      <c r="C235" s="311" t="s">
        <v>1810</v>
      </c>
      <c r="D235" s="311" t="s">
        <v>1810</v>
      </c>
      <c r="E235" s="311" t="s">
        <v>1810</v>
      </c>
      <c r="F235" s="299">
        <v>0</v>
      </c>
      <c r="G235" s="299">
        <v>0</v>
      </c>
      <c r="H235" s="299">
        <v>0</v>
      </c>
      <c r="I235" s="299">
        <v>0</v>
      </c>
      <c r="J235" s="299">
        <v>0</v>
      </c>
      <c r="K235" s="299">
        <v>0</v>
      </c>
      <c r="L235" s="299">
        <v>0</v>
      </c>
      <c r="M235" s="301"/>
      <c r="N235" s="302"/>
      <c r="O235" s="665"/>
    </row>
    <row r="236" spans="1:15" hidden="1" x14ac:dyDescent="0.25">
      <c r="A236" s="334">
        <v>5001</v>
      </c>
      <c r="B236" s="335" t="s">
        <v>1874</v>
      </c>
      <c r="C236" s="311" t="s">
        <v>1810</v>
      </c>
      <c r="D236" s="311" t="s">
        <v>1810</v>
      </c>
      <c r="E236" s="311" t="s">
        <v>1810</v>
      </c>
      <c r="F236" s="299">
        <v>0</v>
      </c>
      <c r="G236" s="299">
        <v>0</v>
      </c>
      <c r="H236" s="299">
        <v>0</v>
      </c>
      <c r="I236" s="299">
        <v>0</v>
      </c>
      <c r="J236" s="299">
        <v>0</v>
      </c>
      <c r="K236" s="299">
        <v>0</v>
      </c>
      <c r="L236" s="299">
        <v>0</v>
      </c>
      <c r="M236" s="301"/>
      <c r="N236" s="302"/>
      <c r="O236" s="665"/>
    </row>
    <row r="237" spans="1:15" hidden="1" x14ac:dyDescent="0.25">
      <c r="A237" s="334">
        <v>5011</v>
      </c>
      <c r="B237" s="335" t="s">
        <v>1875</v>
      </c>
      <c r="C237" s="311" t="s">
        <v>1810</v>
      </c>
      <c r="D237" s="311" t="s">
        <v>1810</v>
      </c>
      <c r="E237" s="311" t="s">
        <v>1810</v>
      </c>
      <c r="F237" s="299">
        <v>0</v>
      </c>
      <c r="G237" s="299">
        <v>0</v>
      </c>
      <c r="H237" s="299">
        <v>0</v>
      </c>
      <c r="I237" s="299">
        <v>0</v>
      </c>
      <c r="J237" s="299">
        <v>0</v>
      </c>
      <c r="K237" s="299">
        <v>0</v>
      </c>
      <c r="L237" s="299">
        <v>0</v>
      </c>
      <c r="M237" s="301"/>
      <c r="N237" s="302"/>
      <c r="O237" s="665"/>
    </row>
    <row r="238" spans="1:15" hidden="1" x14ac:dyDescent="0.25">
      <c r="A238" s="334">
        <v>5012</v>
      </c>
      <c r="B238" s="335" t="s">
        <v>1876</v>
      </c>
      <c r="C238" s="311" t="s">
        <v>1810</v>
      </c>
      <c r="D238" s="311" t="s">
        <v>1810</v>
      </c>
      <c r="E238" s="311" t="s">
        <v>1810</v>
      </c>
      <c r="F238" s="299">
        <v>0</v>
      </c>
      <c r="G238" s="299">
        <v>0</v>
      </c>
      <c r="H238" s="299">
        <v>0</v>
      </c>
      <c r="I238" s="299">
        <v>0</v>
      </c>
      <c r="J238" s="299">
        <v>0</v>
      </c>
      <c r="K238" s="299">
        <v>0</v>
      </c>
      <c r="L238" s="299">
        <v>0</v>
      </c>
      <c r="M238" s="301"/>
      <c r="N238" s="302"/>
      <c r="O238" s="665"/>
    </row>
    <row r="239" spans="1:15" hidden="1" x14ac:dyDescent="0.25">
      <c r="A239" s="334">
        <v>5013</v>
      </c>
      <c r="B239" s="335" t="s">
        <v>1877</v>
      </c>
      <c r="C239" s="311" t="s">
        <v>1810</v>
      </c>
      <c r="D239" s="311" t="s">
        <v>1810</v>
      </c>
      <c r="E239" s="311" t="s">
        <v>1810</v>
      </c>
      <c r="F239" s="299">
        <v>0</v>
      </c>
      <c r="G239" s="299">
        <v>0</v>
      </c>
      <c r="H239" s="299">
        <v>0</v>
      </c>
      <c r="I239" s="299">
        <v>0</v>
      </c>
      <c r="J239" s="299">
        <v>0</v>
      </c>
      <c r="K239" s="299">
        <v>0</v>
      </c>
      <c r="L239" s="299">
        <v>0</v>
      </c>
      <c r="M239" s="301"/>
      <c r="N239" s="302"/>
      <c r="O239" s="665"/>
    </row>
    <row r="240" spans="1:15" hidden="1" x14ac:dyDescent="0.25">
      <c r="A240" s="334">
        <v>5014</v>
      </c>
      <c r="B240" s="335" t="s">
        <v>1878</v>
      </c>
      <c r="C240" s="311" t="s">
        <v>1810</v>
      </c>
      <c r="D240" s="311" t="s">
        <v>1810</v>
      </c>
      <c r="E240" s="311" t="s">
        <v>1810</v>
      </c>
      <c r="F240" s="299">
        <v>0</v>
      </c>
      <c r="G240" s="299">
        <v>0</v>
      </c>
      <c r="H240" s="299">
        <v>0</v>
      </c>
      <c r="I240" s="299">
        <v>0</v>
      </c>
      <c r="J240" s="299">
        <v>0</v>
      </c>
      <c r="K240" s="299">
        <v>0</v>
      </c>
      <c r="L240" s="299">
        <v>0</v>
      </c>
      <c r="M240" s="301"/>
      <c r="N240" s="302"/>
      <c r="O240" s="665"/>
    </row>
    <row r="241" spans="1:15" hidden="1" x14ac:dyDescent="0.25">
      <c r="A241" s="334">
        <v>5016</v>
      </c>
      <c r="B241" s="335" t="s">
        <v>1879</v>
      </c>
      <c r="C241" s="311" t="s">
        <v>1810</v>
      </c>
      <c r="D241" s="311" t="s">
        <v>1810</v>
      </c>
      <c r="E241" s="311" t="s">
        <v>1810</v>
      </c>
      <c r="F241" s="299">
        <v>0</v>
      </c>
      <c r="G241" s="299">
        <v>0</v>
      </c>
      <c r="H241" s="299">
        <v>0</v>
      </c>
      <c r="I241" s="299">
        <v>0</v>
      </c>
      <c r="J241" s="299">
        <v>0</v>
      </c>
      <c r="K241" s="299">
        <v>0</v>
      </c>
      <c r="L241" s="299">
        <v>0</v>
      </c>
      <c r="M241" s="301"/>
      <c r="N241" s="302"/>
      <c r="O241" s="665"/>
    </row>
    <row r="242" spans="1:15" hidden="1" x14ac:dyDescent="0.25">
      <c r="A242" s="334">
        <v>5018</v>
      </c>
      <c r="B242" s="335" t="s">
        <v>1880</v>
      </c>
      <c r="C242" s="311" t="s">
        <v>1810</v>
      </c>
      <c r="D242" s="311" t="s">
        <v>1810</v>
      </c>
      <c r="E242" s="311" t="s">
        <v>1810</v>
      </c>
      <c r="F242" s="299">
        <v>0</v>
      </c>
      <c r="G242" s="299">
        <v>0</v>
      </c>
      <c r="H242" s="299">
        <v>0</v>
      </c>
      <c r="I242" s="299">
        <v>0</v>
      </c>
      <c r="J242" s="299">
        <v>0</v>
      </c>
      <c r="K242" s="299">
        <v>0</v>
      </c>
      <c r="L242" s="299">
        <v>0</v>
      </c>
      <c r="M242" s="301"/>
      <c r="N242" s="302"/>
      <c r="O242" s="665"/>
    </row>
    <row r="243" spans="1:15" hidden="1" x14ac:dyDescent="0.25">
      <c r="A243" s="334">
        <v>5019</v>
      </c>
      <c r="B243" s="335" t="s">
        <v>1881</v>
      </c>
      <c r="C243" s="311" t="s">
        <v>1810</v>
      </c>
      <c r="D243" s="311" t="s">
        <v>1810</v>
      </c>
      <c r="E243" s="311" t="s">
        <v>1810</v>
      </c>
      <c r="F243" s="299">
        <v>0</v>
      </c>
      <c r="G243" s="299">
        <v>0</v>
      </c>
      <c r="H243" s="299">
        <v>0</v>
      </c>
      <c r="I243" s="299">
        <v>0</v>
      </c>
      <c r="J243" s="299">
        <v>0</v>
      </c>
      <c r="K243" s="299">
        <v>0</v>
      </c>
      <c r="L243" s="299">
        <v>0</v>
      </c>
      <c r="M243" s="301"/>
      <c r="N243" s="302"/>
      <c r="O243" s="665"/>
    </row>
    <row r="244" spans="1:15" hidden="1" x14ac:dyDescent="0.25">
      <c r="A244" s="334">
        <v>5021</v>
      </c>
      <c r="B244" s="335" t="s">
        <v>1882</v>
      </c>
      <c r="C244" s="311" t="s">
        <v>1810</v>
      </c>
      <c r="D244" s="311" t="s">
        <v>1810</v>
      </c>
      <c r="E244" s="311" t="s">
        <v>1810</v>
      </c>
      <c r="F244" s="299">
        <v>0</v>
      </c>
      <c r="G244" s="299">
        <v>0</v>
      </c>
      <c r="H244" s="299">
        <v>0</v>
      </c>
      <c r="I244" s="299">
        <v>0</v>
      </c>
      <c r="J244" s="299">
        <v>0</v>
      </c>
      <c r="K244" s="299">
        <v>0</v>
      </c>
      <c r="L244" s="299">
        <v>0</v>
      </c>
      <c r="M244" s="301"/>
      <c r="N244" s="302"/>
      <c r="O244" s="665"/>
    </row>
    <row r="245" spans="1:15" hidden="1" x14ac:dyDescent="0.25">
      <c r="A245" s="334">
        <v>5022</v>
      </c>
      <c r="B245" s="335" t="s">
        <v>1883</v>
      </c>
      <c r="C245" s="311" t="s">
        <v>1810</v>
      </c>
      <c r="D245" s="311" t="s">
        <v>1810</v>
      </c>
      <c r="E245" s="311" t="s">
        <v>1810</v>
      </c>
      <c r="F245" s="299">
        <v>0</v>
      </c>
      <c r="G245" s="299">
        <v>0</v>
      </c>
      <c r="H245" s="299">
        <v>0</v>
      </c>
      <c r="I245" s="299">
        <v>0</v>
      </c>
      <c r="J245" s="299">
        <v>0</v>
      </c>
      <c r="K245" s="299">
        <v>0</v>
      </c>
      <c r="L245" s="299">
        <v>0</v>
      </c>
      <c r="M245" s="301"/>
      <c r="N245" s="302"/>
      <c r="O245" s="665"/>
    </row>
    <row r="246" spans="1:15" hidden="1" x14ac:dyDescent="0.25">
      <c r="A246" s="334">
        <v>5023</v>
      </c>
      <c r="B246" s="335" t="s">
        <v>1884</v>
      </c>
      <c r="C246" s="311" t="s">
        <v>1810</v>
      </c>
      <c r="D246" s="311" t="s">
        <v>1810</v>
      </c>
      <c r="E246" s="311" t="s">
        <v>1810</v>
      </c>
      <c r="F246" s="299">
        <v>0</v>
      </c>
      <c r="G246" s="299">
        <v>0</v>
      </c>
      <c r="H246" s="299">
        <v>0</v>
      </c>
      <c r="I246" s="299">
        <v>0</v>
      </c>
      <c r="J246" s="299">
        <v>0</v>
      </c>
      <c r="K246" s="299">
        <v>0</v>
      </c>
      <c r="L246" s="299">
        <v>0</v>
      </c>
      <c r="M246" s="301"/>
      <c r="N246" s="302"/>
      <c r="O246" s="665"/>
    </row>
    <row r="247" spans="1:15" hidden="1" x14ac:dyDescent="0.25">
      <c r="A247" s="334">
        <v>5024</v>
      </c>
      <c r="B247" s="335" t="s">
        <v>1885</v>
      </c>
      <c r="C247" s="311" t="s">
        <v>1810</v>
      </c>
      <c r="D247" s="311" t="s">
        <v>1810</v>
      </c>
      <c r="E247" s="311" t="s">
        <v>1810</v>
      </c>
      <c r="F247" s="299">
        <v>0</v>
      </c>
      <c r="G247" s="299">
        <v>0</v>
      </c>
      <c r="H247" s="299">
        <v>0</v>
      </c>
      <c r="I247" s="299">
        <v>0</v>
      </c>
      <c r="J247" s="299">
        <v>0</v>
      </c>
      <c r="K247" s="299">
        <v>0</v>
      </c>
      <c r="L247" s="299">
        <v>0</v>
      </c>
      <c r="M247" s="301"/>
      <c r="N247" s="302"/>
      <c r="O247" s="665"/>
    </row>
    <row r="248" spans="1:15" hidden="1" x14ac:dyDescent="0.25">
      <c r="A248" s="334">
        <v>5025</v>
      </c>
      <c r="B248" s="335" t="s">
        <v>1886</v>
      </c>
      <c r="C248" s="311" t="s">
        <v>1810</v>
      </c>
      <c r="D248" s="311" t="s">
        <v>1810</v>
      </c>
      <c r="E248" s="311" t="s">
        <v>1810</v>
      </c>
      <c r="F248" s="299">
        <v>0</v>
      </c>
      <c r="G248" s="299">
        <v>0</v>
      </c>
      <c r="H248" s="299">
        <v>0</v>
      </c>
      <c r="I248" s="299">
        <v>0</v>
      </c>
      <c r="J248" s="299">
        <v>0</v>
      </c>
      <c r="K248" s="299">
        <v>0</v>
      </c>
      <c r="L248" s="299">
        <v>0</v>
      </c>
      <c r="M248" s="301"/>
      <c r="N248" s="302"/>
      <c r="O248" s="665"/>
    </row>
    <row r="249" spans="1:15" hidden="1" x14ac:dyDescent="0.25">
      <c r="A249" s="334">
        <v>5026</v>
      </c>
      <c r="B249" s="335" t="s">
        <v>1887</v>
      </c>
      <c r="C249" s="311" t="s">
        <v>1810</v>
      </c>
      <c r="D249" s="311" t="s">
        <v>1810</v>
      </c>
      <c r="E249" s="311" t="s">
        <v>1810</v>
      </c>
      <c r="F249" s="299">
        <v>0</v>
      </c>
      <c r="G249" s="299">
        <v>0</v>
      </c>
      <c r="H249" s="299">
        <v>0</v>
      </c>
      <c r="I249" s="299">
        <v>0</v>
      </c>
      <c r="J249" s="299">
        <v>0</v>
      </c>
      <c r="K249" s="299">
        <v>0</v>
      </c>
      <c r="L249" s="299">
        <v>0</v>
      </c>
      <c r="M249" s="301"/>
      <c r="N249" s="302"/>
      <c r="O249" s="665"/>
    </row>
    <row r="250" spans="1:15" hidden="1" x14ac:dyDescent="0.25">
      <c r="A250" s="334">
        <v>5027</v>
      </c>
      <c r="B250" s="335" t="s">
        <v>1888</v>
      </c>
      <c r="C250" s="311" t="s">
        <v>1810</v>
      </c>
      <c r="D250" s="311" t="s">
        <v>1810</v>
      </c>
      <c r="E250" s="311" t="s">
        <v>1810</v>
      </c>
      <c r="F250" s="299">
        <v>0</v>
      </c>
      <c r="G250" s="299">
        <v>0</v>
      </c>
      <c r="H250" s="299">
        <v>0</v>
      </c>
      <c r="I250" s="299">
        <v>0</v>
      </c>
      <c r="J250" s="299">
        <v>0</v>
      </c>
      <c r="K250" s="299">
        <v>0</v>
      </c>
      <c r="L250" s="299">
        <v>0</v>
      </c>
      <c r="M250" s="301"/>
      <c r="N250" s="302"/>
      <c r="O250" s="665"/>
    </row>
    <row r="251" spans="1:15" hidden="1" x14ac:dyDescent="0.25">
      <c r="A251" s="334">
        <v>5028</v>
      </c>
      <c r="B251" s="335" t="s">
        <v>1889</v>
      </c>
      <c r="C251" s="311" t="s">
        <v>1810</v>
      </c>
      <c r="D251" s="311" t="s">
        <v>1810</v>
      </c>
      <c r="E251" s="311" t="s">
        <v>1810</v>
      </c>
      <c r="F251" s="299">
        <v>0</v>
      </c>
      <c r="G251" s="299">
        <v>0</v>
      </c>
      <c r="H251" s="299">
        <v>0</v>
      </c>
      <c r="I251" s="299">
        <v>0</v>
      </c>
      <c r="J251" s="299">
        <v>0</v>
      </c>
      <c r="K251" s="299">
        <v>0</v>
      </c>
      <c r="L251" s="299">
        <v>0</v>
      </c>
      <c r="M251" s="301"/>
      <c r="N251" s="302"/>
      <c r="O251" s="665"/>
    </row>
    <row r="252" spans="1:15" hidden="1" x14ac:dyDescent="0.25">
      <c r="A252" s="334">
        <v>5031</v>
      </c>
      <c r="B252" s="335" t="s">
        <v>1890</v>
      </c>
      <c r="C252" s="311" t="s">
        <v>1810</v>
      </c>
      <c r="D252" s="311" t="s">
        <v>1810</v>
      </c>
      <c r="E252" s="311" t="s">
        <v>1810</v>
      </c>
      <c r="F252" s="299">
        <v>0</v>
      </c>
      <c r="G252" s="299">
        <v>0</v>
      </c>
      <c r="H252" s="299">
        <v>0</v>
      </c>
      <c r="I252" s="299">
        <v>0</v>
      </c>
      <c r="J252" s="299">
        <v>0</v>
      </c>
      <c r="K252" s="299">
        <v>0</v>
      </c>
      <c r="L252" s="299">
        <v>0</v>
      </c>
      <c r="M252" s="301"/>
      <c r="N252" s="302"/>
      <c r="O252" s="665"/>
    </row>
    <row r="253" spans="1:15" hidden="1" x14ac:dyDescent="0.25">
      <c r="A253" s="334">
        <v>5032</v>
      </c>
      <c r="B253" s="335" t="s">
        <v>1891</v>
      </c>
      <c r="C253" s="311" t="s">
        <v>1810</v>
      </c>
      <c r="D253" s="311" t="s">
        <v>1810</v>
      </c>
      <c r="E253" s="311" t="s">
        <v>1810</v>
      </c>
      <c r="F253" s="299">
        <v>0</v>
      </c>
      <c r="G253" s="299">
        <v>0</v>
      </c>
      <c r="H253" s="299">
        <v>0</v>
      </c>
      <c r="I253" s="299">
        <v>0</v>
      </c>
      <c r="J253" s="299">
        <v>0</v>
      </c>
      <c r="K253" s="299">
        <v>0</v>
      </c>
      <c r="L253" s="299">
        <v>0</v>
      </c>
      <c r="M253" s="301"/>
      <c r="N253" s="302"/>
      <c r="O253" s="665"/>
    </row>
    <row r="254" spans="1:15" hidden="1" x14ac:dyDescent="0.25">
      <c r="A254" s="334">
        <v>5033</v>
      </c>
      <c r="B254" s="335" t="s">
        <v>1892</v>
      </c>
      <c r="C254" s="311" t="s">
        <v>1810</v>
      </c>
      <c r="D254" s="311" t="s">
        <v>1810</v>
      </c>
      <c r="E254" s="311" t="s">
        <v>1810</v>
      </c>
      <c r="F254" s="299">
        <v>0</v>
      </c>
      <c r="G254" s="299">
        <v>0</v>
      </c>
      <c r="H254" s="299">
        <v>0</v>
      </c>
      <c r="I254" s="299">
        <v>0</v>
      </c>
      <c r="J254" s="299">
        <v>0</v>
      </c>
      <c r="K254" s="299">
        <v>0</v>
      </c>
      <c r="L254" s="299">
        <v>0</v>
      </c>
      <c r="M254" s="301"/>
      <c r="N254" s="302"/>
      <c r="O254" s="665"/>
    </row>
    <row r="255" spans="1:15" hidden="1" x14ac:dyDescent="0.25">
      <c r="A255" s="334">
        <v>5034</v>
      </c>
      <c r="B255" s="335" t="s">
        <v>1893</v>
      </c>
      <c r="C255" s="311" t="s">
        <v>1810</v>
      </c>
      <c r="D255" s="311" t="s">
        <v>1810</v>
      </c>
      <c r="E255" s="311" t="s">
        <v>1810</v>
      </c>
      <c r="F255" s="299">
        <v>0</v>
      </c>
      <c r="G255" s="299">
        <v>0</v>
      </c>
      <c r="H255" s="299">
        <v>0</v>
      </c>
      <c r="I255" s="299">
        <v>0</v>
      </c>
      <c r="J255" s="299">
        <v>0</v>
      </c>
      <c r="K255" s="299">
        <v>0</v>
      </c>
      <c r="L255" s="299">
        <v>0</v>
      </c>
      <c r="M255" s="301"/>
      <c r="N255" s="302"/>
      <c r="O255" s="665"/>
    </row>
    <row r="256" spans="1:15" hidden="1" x14ac:dyDescent="0.25">
      <c r="A256" s="334">
        <v>5035</v>
      </c>
      <c r="B256" s="335" t="s">
        <v>1894</v>
      </c>
      <c r="C256" s="311" t="s">
        <v>1810</v>
      </c>
      <c r="D256" s="311" t="s">
        <v>1810</v>
      </c>
      <c r="E256" s="311" t="s">
        <v>1810</v>
      </c>
      <c r="F256" s="299">
        <v>0</v>
      </c>
      <c r="G256" s="299">
        <v>0</v>
      </c>
      <c r="H256" s="299">
        <v>0</v>
      </c>
      <c r="I256" s="299">
        <v>0</v>
      </c>
      <c r="J256" s="299">
        <v>0</v>
      </c>
      <c r="K256" s="299">
        <v>0</v>
      </c>
      <c r="L256" s="299">
        <v>0</v>
      </c>
      <c r="M256" s="301"/>
      <c r="N256" s="302"/>
      <c r="O256" s="665"/>
    </row>
    <row r="257" spans="1:15" hidden="1" x14ac:dyDescent="0.25">
      <c r="A257" s="334">
        <v>5036</v>
      </c>
      <c r="B257" s="335" t="s">
        <v>1895</v>
      </c>
      <c r="C257" s="311" t="s">
        <v>1810</v>
      </c>
      <c r="D257" s="311" t="s">
        <v>1810</v>
      </c>
      <c r="E257" s="311" t="s">
        <v>1810</v>
      </c>
      <c r="F257" s="299">
        <v>0</v>
      </c>
      <c r="G257" s="299">
        <v>0</v>
      </c>
      <c r="H257" s="299">
        <v>0</v>
      </c>
      <c r="I257" s="299">
        <v>0</v>
      </c>
      <c r="J257" s="299">
        <v>0</v>
      </c>
      <c r="K257" s="299">
        <v>0</v>
      </c>
      <c r="L257" s="299">
        <v>0</v>
      </c>
      <c r="M257" s="301"/>
      <c r="N257" s="302"/>
      <c r="O257" s="665"/>
    </row>
    <row r="258" spans="1:15" hidden="1" x14ac:dyDescent="0.25">
      <c r="A258" s="334">
        <v>5038</v>
      </c>
      <c r="B258" s="335" t="s">
        <v>1896</v>
      </c>
      <c r="C258" s="311" t="s">
        <v>1810</v>
      </c>
      <c r="D258" s="311" t="s">
        <v>1810</v>
      </c>
      <c r="E258" s="311" t="s">
        <v>1810</v>
      </c>
      <c r="F258" s="299">
        <v>0</v>
      </c>
      <c r="G258" s="299">
        <v>0</v>
      </c>
      <c r="H258" s="299">
        <v>0</v>
      </c>
      <c r="I258" s="299">
        <v>0</v>
      </c>
      <c r="J258" s="299">
        <v>0</v>
      </c>
      <c r="K258" s="299">
        <v>0</v>
      </c>
      <c r="L258" s="299">
        <v>0</v>
      </c>
      <c r="M258" s="301"/>
      <c r="N258" s="302"/>
      <c r="O258" s="665"/>
    </row>
    <row r="259" spans="1:15" hidden="1" x14ac:dyDescent="0.25">
      <c r="A259" s="334">
        <v>5040</v>
      </c>
      <c r="B259" s="335" t="s">
        <v>1897</v>
      </c>
      <c r="C259" s="311" t="s">
        <v>1810</v>
      </c>
      <c r="D259" s="311" t="s">
        <v>1810</v>
      </c>
      <c r="E259" s="311" t="s">
        <v>1810</v>
      </c>
      <c r="F259" s="299">
        <v>0</v>
      </c>
      <c r="G259" s="299">
        <v>0</v>
      </c>
      <c r="H259" s="299">
        <v>0</v>
      </c>
      <c r="I259" s="299">
        <v>0</v>
      </c>
      <c r="J259" s="299">
        <v>0</v>
      </c>
      <c r="K259" s="299">
        <v>0</v>
      </c>
      <c r="L259" s="299">
        <v>0</v>
      </c>
      <c r="M259" s="301"/>
      <c r="N259" s="302"/>
      <c r="O259" s="665"/>
    </row>
    <row r="260" spans="1:15" hidden="1" x14ac:dyDescent="0.25">
      <c r="A260" s="334">
        <v>5041</v>
      </c>
      <c r="B260" s="335" t="s">
        <v>1898</v>
      </c>
      <c r="C260" s="311" t="s">
        <v>1810</v>
      </c>
      <c r="D260" s="311" t="s">
        <v>1810</v>
      </c>
      <c r="E260" s="311" t="s">
        <v>1810</v>
      </c>
      <c r="F260" s="299">
        <v>0</v>
      </c>
      <c r="G260" s="299">
        <v>0</v>
      </c>
      <c r="H260" s="299">
        <v>0</v>
      </c>
      <c r="I260" s="299">
        <v>0</v>
      </c>
      <c r="J260" s="299">
        <v>0</v>
      </c>
      <c r="K260" s="299">
        <v>0</v>
      </c>
      <c r="L260" s="299">
        <v>0</v>
      </c>
      <c r="M260" s="301"/>
      <c r="N260" s="302"/>
      <c r="O260" s="665"/>
    </row>
    <row r="261" spans="1:15" hidden="1" x14ac:dyDescent="0.25">
      <c r="A261" s="334">
        <v>5042</v>
      </c>
      <c r="B261" s="335" t="s">
        <v>1899</v>
      </c>
      <c r="C261" s="311" t="s">
        <v>1810</v>
      </c>
      <c r="D261" s="311" t="s">
        <v>1810</v>
      </c>
      <c r="E261" s="311" t="s">
        <v>1810</v>
      </c>
      <c r="F261" s="299">
        <v>0</v>
      </c>
      <c r="G261" s="299">
        <v>0</v>
      </c>
      <c r="H261" s="299">
        <v>0</v>
      </c>
      <c r="I261" s="299">
        <v>0</v>
      </c>
      <c r="J261" s="299">
        <v>0</v>
      </c>
      <c r="K261" s="299">
        <v>0</v>
      </c>
      <c r="L261" s="299">
        <v>0</v>
      </c>
      <c r="M261" s="301"/>
      <c r="N261" s="302"/>
      <c r="O261" s="665"/>
    </row>
    <row r="262" spans="1:15" hidden="1" x14ac:dyDescent="0.25">
      <c r="A262" s="334">
        <v>5043</v>
      </c>
      <c r="B262" s="335" t="s">
        <v>1900</v>
      </c>
      <c r="C262" s="311" t="s">
        <v>1810</v>
      </c>
      <c r="D262" s="311" t="s">
        <v>1810</v>
      </c>
      <c r="E262" s="311" t="s">
        <v>1810</v>
      </c>
      <c r="F262" s="299">
        <v>0</v>
      </c>
      <c r="G262" s="299">
        <v>0</v>
      </c>
      <c r="H262" s="299">
        <v>0</v>
      </c>
      <c r="I262" s="299">
        <v>0</v>
      </c>
      <c r="J262" s="299">
        <v>0</v>
      </c>
      <c r="K262" s="299">
        <v>0</v>
      </c>
      <c r="L262" s="299">
        <v>0</v>
      </c>
      <c r="M262" s="301"/>
      <c r="N262" s="302"/>
      <c r="O262" s="665"/>
    </row>
    <row r="263" spans="1:15" hidden="1" x14ac:dyDescent="0.25">
      <c r="A263" s="334">
        <v>5044</v>
      </c>
      <c r="B263" s="335" t="s">
        <v>1901</v>
      </c>
      <c r="C263" s="311" t="s">
        <v>1810</v>
      </c>
      <c r="D263" s="311" t="s">
        <v>1810</v>
      </c>
      <c r="E263" s="311" t="s">
        <v>1810</v>
      </c>
      <c r="F263" s="299">
        <v>0</v>
      </c>
      <c r="G263" s="299">
        <v>0</v>
      </c>
      <c r="H263" s="299">
        <v>0</v>
      </c>
      <c r="I263" s="299">
        <v>0</v>
      </c>
      <c r="J263" s="299">
        <v>0</v>
      </c>
      <c r="K263" s="299">
        <v>0</v>
      </c>
      <c r="L263" s="299">
        <v>0</v>
      </c>
      <c r="M263" s="301"/>
      <c r="N263" s="302"/>
      <c r="O263" s="665"/>
    </row>
    <row r="264" spans="1:15" hidden="1" x14ac:dyDescent="0.25">
      <c r="A264" s="334">
        <v>5045</v>
      </c>
      <c r="B264" s="335" t="s">
        <v>1902</v>
      </c>
      <c r="C264" s="311" t="s">
        <v>1810</v>
      </c>
      <c r="D264" s="311" t="s">
        <v>1810</v>
      </c>
      <c r="E264" s="311" t="s">
        <v>1810</v>
      </c>
      <c r="F264" s="299">
        <v>0</v>
      </c>
      <c r="G264" s="299">
        <v>0</v>
      </c>
      <c r="H264" s="299">
        <v>0</v>
      </c>
      <c r="I264" s="299">
        <v>0</v>
      </c>
      <c r="J264" s="299">
        <v>0</v>
      </c>
      <c r="K264" s="299">
        <v>0</v>
      </c>
      <c r="L264" s="299">
        <v>0</v>
      </c>
      <c r="M264" s="301"/>
      <c r="N264" s="302"/>
      <c r="O264" s="665"/>
    </row>
    <row r="265" spans="1:15" hidden="1" x14ac:dyDescent="0.25">
      <c r="A265" s="334">
        <v>5046</v>
      </c>
      <c r="B265" s="335" t="s">
        <v>1903</v>
      </c>
      <c r="C265" s="311" t="s">
        <v>1810</v>
      </c>
      <c r="D265" s="311" t="s">
        <v>1810</v>
      </c>
      <c r="E265" s="311" t="s">
        <v>1810</v>
      </c>
      <c r="F265" s="299">
        <v>0</v>
      </c>
      <c r="G265" s="299">
        <v>0</v>
      </c>
      <c r="H265" s="299">
        <v>0</v>
      </c>
      <c r="I265" s="299">
        <v>0</v>
      </c>
      <c r="J265" s="299">
        <v>0</v>
      </c>
      <c r="K265" s="299">
        <v>0</v>
      </c>
      <c r="L265" s="299">
        <v>0</v>
      </c>
      <c r="M265" s="301"/>
      <c r="N265" s="302"/>
      <c r="O265" s="665"/>
    </row>
    <row r="266" spans="1:15" hidden="1" x14ac:dyDescent="0.25">
      <c r="A266" s="334">
        <v>5047</v>
      </c>
      <c r="B266" s="335" t="s">
        <v>1904</v>
      </c>
      <c r="C266" s="311" t="s">
        <v>1810</v>
      </c>
      <c r="D266" s="311" t="s">
        <v>1810</v>
      </c>
      <c r="E266" s="311" t="s">
        <v>1810</v>
      </c>
      <c r="F266" s="299">
        <v>0</v>
      </c>
      <c r="G266" s="299">
        <v>0</v>
      </c>
      <c r="H266" s="299">
        <v>0</v>
      </c>
      <c r="I266" s="299">
        <v>0</v>
      </c>
      <c r="J266" s="299">
        <v>0</v>
      </c>
      <c r="K266" s="299">
        <v>0</v>
      </c>
      <c r="L266" s="299">
        <v>0</v>
      </c>
      <c r="M266" s="301"/>
      <c r="N266" s="302"/>
      <c r="O266" s="665"/>
    </row>
    <row r="267" spans="1:15" hidden="1" x14ac:dyDescent="0.25">
      <c r="A267" s="334">
        <v>5048</v>
      </c>
      <c r="B267" s="335" t="s">
        <v>1905</v>
      </c>
      <c r="C267" s="311" t="s">
        <v>1810</v>
      </c>
      <c r="D267" s="311" t="s">
        <v>1810</v>
      </c>
      <c r="E267" s="311" t="s">
        <v>1810</v>
      </c>
      <c r="F267" s="299">
        <v>0</v>
      </c>
      <c r="G267" s="299">
        <v>0</v>
      </c>
      <c r="H267" s="299">
        <v>0</v>
      </c>
      <c r="I267" s="299">
        <v>0</v>
      </c>
      <c r="J267" s="299">
        <v>0</v>
      </c>
      <c r="K267" s="299">
        <v>0</v>
      </c>
      <c r="L267" s="299">
        <v>0</v>
      </c>
      <c r="M267" s="301"/>
      <c r="N267" s="302"/>
      <c r="O267" s="665"/>
    </row>
    <row r="268" spans="1:15" hidden="1" x14ac:dyDescent="0.25">
      <c r="A268" s="334">
        <v>5049</v>
      </c>
      <c r="B268" s="335" t="s">
        <v>1906</v>
      </c>
      <c r="C268" s="311" t="s">
        <v>1810</v>
      </c>
      <c r="D268" s="311" t="s">
        <v>1810</v>
      </c>
      <c r="E268" s="311" t="s">
        <v>1810</v>
      </c>
      <c r="F268" s="299">
        <v>0</v>
      </c>
      <c r="G268" s="299">
        <v>0</v>
      </c>
      <c r="H268" s="299">
        <v>0</v>
      </c>
      <c r="I268" s="299">
        <v>0</v>
      </c>
      <c r="J268" s="299">
        <v>0</v>
      </c>
      <c r="K268" s="299">
        <v>0</v>
      </c>
      <c r="L268" s="299">
        <v>0</v>
      </c>
      <c r="M268" s="301"/>
      <c r="N268" s="302"/>
      <c r="O268" s="665"/>
    </row>
    <row r="269" spans="1:15" hidden="1" x14ac:dyDescent="0.25">
      <c r="A269" s="334">
        <v>5050</v>
      </c>
      <c r="B269" s="335" t="s">
        <v>1907</v>
      </c>
      <c r="C269" s="311" t="s">
        <v>1810</v>
      </c>
      <c r="D269" s="311" t="s">
        <v>1810</v>
      </c>
      <c r="E269" s="311" t="s">
        <v>1810</v>
      </c>
      <c r="F269" s="299">
        <v>0</v>
      </c>
      <c r="G269" s="299">
        <v>0</v>
      </c>
      <c r="H269" s="299">
        <v>0</v>
      </c>
      <c r="I269" s="299">
        <v>0</v>
      </c>
      <c r="J269" s="299">
        <v>0</v>
      </c>
      <c r="K269" s="299">
        <v>0</v>
      </c>
      <c r="L269" s="299">
        <v>0</v>
      </c>
      <c r="M269" s="301"/>
      <c r="N269" s="302"/>
      <c r="O269" s="665"/>
    </row>
    <row r="270" spans="1:15" hidden="1" x14ac:dyDescent="0.25">
      <c r="A270" s="334">
        <v>5051</v>
      </c>
      <c r="B270" s="335" t="s">
        <v>1908</v>
      </c>
      <c r="C270" s="311" t="s">
        <v>1810</v>
      </c>
      <c r="D270" s="311" t="s">
        <v>1810</v>
      </c>
      <c r="E270" s="311" t="s">
        <v>1810</v>
      </c>
      <c r="F270" s="299">
        <v>0</v>
      </c>
      <c r="G270" s="299">
        <v>0</v>
      </c>
      <c r="H270" s="299">
        <v>0</v>
      </c>
      <c r="I270" s="299">
        <v>0</v>
      </c>
      <c r="J270" s="299">
        <v>0</v>
      </c>
      <c r="K270" s="299">
        <v>0</v>
      </c>
      <c r="L270" s="299">
        <v>0</v>
      </c>
      <c r="M270" s="301"/>
      <c r="N270" s="302"/>
      <c r="O270" s="665"/>
    </row>
    <row r="271" spans="1:15" hidden="1" x14ac:dyDescent="0.25">
      <c r="A271" s="334">
        <v>5052</v>
      </c>
      <c r="B271" s="335" t="s">
        <v>1909</v>
      </c>
      <c r="C271" s="311" t="s">
        <v>1810</v>
      </c>
      <c r="D271" s="311" t="s">
        <v>1810</v>
      </c>
      <c r="E271" s="311" t="s">
        <v>1810</v>
      </c>
      <c r="F271" s="299">
        <v>0</v>
      </c>
      <c r="G271" s="299">
        <v>0</v>
      </c>
      <c r="H271" s="299">
        <v>0</v>
      </c>
      <c r="I271" s="299">
        <v>0</v>
      </c>
      <c r="J271" s="299">
        <v>0</v>
      </c>
      <c r="K271" s="299">
        <v>0</v>
      </c>
      <c r="L271" s="299">
        <v>0</v>
      </c>
      <c r="M271" s="301"/>
      <c r="N271" s="302"/>
      <c r="O271" s="665"/>
    </row>
    <row r="272" spans="1:15" hidden="1" x14ac:dyDescent="0.25">
      <c r="A272" s="334">
        <v>5054</v>
      </c>
      <c r="B272" s="335" t="s">
        <v>1910</v>
      </c>
      <c r="C272" s="311" t="s">
        <v>1810</v>
      </c>
      <c r="D272" s="311" t="s">
        <v>1810</v>
      </c>
      <c r="E272" s="311" t="s">
        <v>1810</v>
      </c>
      <c r="F272" s="299">
        <v>0</v>
      </c>
      <c r="G272" s="299">
        <v>0</v>
      </c>
      <c r="H272" s="299">
        <v>0</v>
      </c>
      <c r="I272" s="299">
        <v>0</v>
      </c>
      <c r="J272" s="299">
        <v>0</v>
      </c>
      <c r="K272" s="299">
        <v>0</v>
      </c>
      <c r="L272" s="299">
        <v>0</v>
      </c>
      <c r="M272" s="301"/>
      <c r="N272" s="302"/>
      <c r="O272" s="665"/>
    </row>
    <row r="273" spans="1:15" hidden="1" x14ac:dyDescent="0.25">
      <c r="A273" s="334">
        <v>5055</v>
      </c>
      <c r="B273" s="335" t="s">
        <v>1911</v>
      </c>
      <c r="C273" s="311" t="s">
        <v>1810</v>
      </c>
      <c r="D273" s="311" t="s">
        <v>1810</v>
      </c>
      <c r="E273" s="311" t="s">
        <v>1810</v>
      </c>
      <c r="F273" s="299">
        <v>0</v>
      </c>
      <c r="G273" s="299">
        <v>0</v>
      </c>
      <c r="H273" s="299">
        <v>0</v>
      </c>
      <c r="I273" s="299">
        <v>0</v>
      </c>
      <c r="J273" s="299">
        <v>0</v>
      </c>
      <c r="K273" s="299">
        <v>0</v>
      </c>
      <c r="L273" s="299">
        <v>0</v>
      </c>
      <c r="M273" s="301"/>
      <c r="N273" s="302"/>
      <c r="O273" s="665"/>
    </row>
    <row r="274" spans="1:15" hidden="1" x14ac:dyDescent="0.25">
      <c r="A274" s="334">
        <v>5056</v>
      </c>
      <c r="B274" s="335" t="s">
        <v>1912</v>
      </c>
      <c r="C274" s="311" t="s">
        <v>1810</v>
      </c>
      <c r="D274" s="311" t="s">
        <v>1810</v>
      </c>
      <c r="E274" s="311" t="s">
        <v>1810</v>
      </c>
      <c r="F274" s="299">
        <v>0</v>
      </c>
      <c r="G274" s="299">
        <v>0</v>
      </c>
      <c r="H274" s="299">
        <v>0</v>
      </c>
      <c r="I274" s="299">
        <v>0</v>
      </c>
      <c r="J274" s="299">
        <v>0</v>
      </c>
      <c r="K274" s="299">
        <v>0</v>
      </c>
      <c r="L274" s="299">
        <v>0</v>
      </c>
      <c r="M274" s="301"/>
      <c r="N274" s="302"/>
      <c r="O274" s="665"/>
    </row>
    <row r="275" spans="1:15" hidden="1" x14ac:dyDescent="0.25">
      <c r="A275" s="334">
        <v>5058</v>
      </c>
      <c r="B275" s="335" t="s">
        <v>1913</v>
      </c>
      <c r="C275" s="311" t="s">
        <v>1810</v>
      </c>
      <c r="D275" s="311" t="s">
        <v>1810</v>
      </c>
      <c r="E275" s="311" t="s">
        <v>1810</v>
      </c>
      <c r="F275" s="299">
        <v>0</v>
      </c>
      <c r="G275" s="299">
        <v>0</v>
      </c>
      <c r="H275" s="299">
        <v>0</v>
      </c>
      <c r="I275" s="299">
        <v>0</v>
      </c>
      <c r="J275" s="299">
        <v>0</v>
      </c>
      <c r="K275" s="299">
        <v>0</v>
      </c>
      <c r="L275" s="299">
        <v>0</v>
      </c>
      <c r="M275" s="301"/>
      <c r="N275" s="302"/>
      <c r="O275" s="665"/>
    </row>
    <row r="276" spans="1:15" hidden="1" x14ac:dyDescent="0.25">
      <c r="A276" s="334">
        <v>5059</v>
      </c>
      <c r="B276" s="335" t="s">
        <v>1914</v>
      </c>
      <c r="C276" s="311" t="s">
        <v>1810</v>
      </c>
      <c r="D276" s="311" t="s">
        <v>1810</v>
      </c>
      <c r="E276" s="311" t="s">
        <v>1810</v>
      </c>
      <c r="F276" s="299">
        <v>0</v>
      </c>
      <c r="G276" s="299">
        <v>0</v>
      </c>
      <c r="H276" s="299">
        <v>0</v>
      </c>
      <c r="I276" s="299">
        <v>0</v>
      </c>
      <c r="J276" s="299">
        <v>0</v>
      </c>
      <c r="K276" s="299">
        <v>0</v>
      </c>
      <c r="L276" s="299">
        <v>0</v>
      </c>
      <c r="M276" s="301"/>
      <c r="N276" s="302"/>
      <c r="O276" s="665"/>
    </row>
    <row r="277" spans="1:15" hidden="1" x14ac:dyDescent="0.25">
      <c r="A277" s="334">
        <v>5060</v>
      </c>
      <c r="B277" s="335" t="s">
        <v>1915</v>
      </c>
      <c r="C277" s="311" t="s">
        <v>1810</v>
      </c>
      <c r="D277" s="311" t="s">
        <v>1810</v>
      </c>
      <c r="E277" s="311" t="s">
        <v>1810</v>
      </c>
      <c r="F277" s="299">
        <v>0</v>
      </c>
      <c r="G277" s="299">
        <v>0</v>
      </c>
      <c r="H277" s="299">
        <v>0</v>
      </c>
      <c r="I277" s="299">
        <v>0</v>
      </c>
      <c r="J277" s="299">
        <v>0</v>
      </c>
      <c r="K277" s="299">
        <v>0</v>
      </c>
      <c r="L277" s="299">
        <v>0</v>
      </c>
      <c r="M277" s="301"/>
      <c r="N277" s="302"/>
      <c r="O277" s="665"/>
    </row>
    <row r="278" spans="1:15" hidden="1" x14ac:dyDescent="0.25">
      <c r="A278" s="334">
        <v>5061</v>
      </c>
      <c r="B278" s="335" t="s">
        <v>1916</v>
      </c>
      <c r="C278" s="311" t="s">
        <v>1810</v>
      </c>
      <c r="D278" s="311" t="s">
        <v>1810</v>
      </c>
      <c r="E278" s="311" t="s">
        <v>1810</v>
      </c>
      <c r="F278" s="299">
        <v>0</v>
      </c>
      <c r="G278" s="299">
        <v>0</v>
      </c>
      <c r="H278" s="299">
        <v>0</v>
      </c>
      <c r="I278" s="299">
        <v>0</v>
      </c>
      <c r="J278" s="299">
        <v>0</v>
      </c>
      <c r="K278" s="299">
        <v>0</v>
      </c>
      <c r="L278" s="299">
        <v>0</v>
      </c>
      <c r="M278" s="301"/>
      <c r="N278" s="302"/>
      <c r="O278" s="665"/>
    </row>
    <row r="279" spans="1:15" hidden="1" x14ac:dyDescent="0.25">
      <c r="A279" s="334">
        <v>5062</v>
      </c>
      <c r="B279" s="335" t="s">
        <v>1917</v>
      </c>
      <c r="C279" s="311" t="s">
        <v>1810</v>
      </c>
      <c r="D279" s="311" t="s">
        <v>1810</v>
      </c>
      <c r="E279" s="311" t="s">
        <v>1810</v>
      </c>
      <c r="F279" s="299">
        <v>0</v>
      </c>
      <c r="G279" s="299">
        <v>0</v>
      </c>
      <c r="H279" s="299">
        <v>0</v>
      </c>
      <c r="I279" s="299">
        <v>0</v>
      </c>
      <c r="J279" s="299">
        <v>0</v>
      </c>
      <c r="K279" s="299">
        <v>0</v>
      </c>
      <c r="L279" s="299">
        <v>0</v>
      </c>
      <c r="M279" s="301"/>
      <c r="N279" s="302"/>
      <c r="O279" s="665"/>
    </row>
    <row r="280" spans="1:15" hidden="1" x14ac:dyDescent="0.25">
      <c r="A280" s="334">
        <v>5063</v>
      </c>
      <c r="B280" s="335" t="s">
        <v>1918</v>
      </c>
      <c r="C280" s="311" t="s">
        <v>1810</v>
      </c>
      <c r="D280" s="311" t="s">
        <v>1810</v>
      </c>
      <c r="E280" s="311" t="s">
        <v>1810</v>
      </c>
      <c r="F280" s="299">
        <v>0</v>
      </c>
      <c r="G280" s="299">
        <v>0</v>
      </c>
      <c r="H280" s="299">
        <v>0</v>
      </c>
      <c r="I280" s="299">
        <v>0</v>
      </c>
      <c r="J280" s="299">
        <v>0</v>
      </c>
      <c r="K280" s="299">
        <v>0</v>
      </c>
      <c r="L280" s="299">
        <v>0</v>
      </c>
      <c r="M280" s="301"/>
      <c r="N280" s="302"/>
      <c r="O280" s="665"/>
    </row>
    <row r="281" spans="1:15" hidden="1" x14ac:dyDescent="0.25">
      <c r="A281" s="334">
        <v>5064</v>
      </c>
      <c r="B281" s="335" t="s">
        <v>1919</v>
      </c>
      <c r="C281" s="311" t="s">
        <v>1810</v>
      </c>
      <c r="D281" s="311" t="s">
        <v>1810</v>
      </c>
      <c r="E281" s="311" t="s">
        <v>1810</v>
      </c>
      <c r="F281" s="299">
        <v>0</v>
      </c>
      <c r="G281" s="299">
        <v>0</v>
      </c>
      <c r="H281" s="299">
        <v>0</v>
      </c>
      <c r="I281" s="299">
        <v>0</v>
      </c>
      <c r="J281" s="299">
        <v>0</v>
      </c>
      <c r="K281" s="299">
        <v>0</v>
      </c>
      <c r="L281" s="299">
        <v>0</v>
      </c>
      <c r="M281" s="301"/>
      <c r="N281" s="302"/>
      <c r="O281" s="665"/>
    </row>
    <row r="282" spans="1:15" hidden="1" x14ac:dyDescent="0.25">
      <c r="A282" s="334">
        <v>5065</v>
      </c>
      <c r="B282" s="335" t="s">
        <v>1920</v>
      </c>
      <c r="C282" s="311" t="s">
        <v>1810</v>
      </c>
      <c r="D282" s="311" t="s">
        <v>1810</v>
      </c>
      <c r="E282" s="311" t="s">
        <v>1810</v>
      </c>
      <c r="F282" s="299">
        <v>0</v>
      </c>
      <c r="G282" s="299">
        <v>0</v>
      </c>
      <c r="H282" s="299">
        <v>0</v>
      </c>
      <c r="I282" s="299">
        <v>0</v>
      </c>
      <c r="J282" s="299">
        <v>0</v>
      </c>
      <c r="K282" s="299">
        <v>0</v>
      </c>
      <c r="L282" s="299">
        <v>0</v>
      </c>
      <c r="M282" s="301"/>
      <c r="N282" s="302"/>
      <c r="O282" s="665"/>
    </row>
    <row r="283" spans="1:15" hidden="1" x14ac:dyDescent="0.25">
      <c r="A283" s="334">
        <v>5066</v>
      </c>
      <c r="B283" s="335" t="s">
        <v>1921</v>
      </c>
      <c r="C283" s="311" t="s">
        <v>1810</v>
      </c>
      <c r="D283" s="311" t="s">
        <v>1810</v>
      </c>
      <c r="E283" s="311" t="s">
        <v>1810</v>
      </c>
      <c r="F283" s="299">
        <v>0</v>
      </c>
      <c r="G283" s="299">
        <v>0</v>
      </c>
      <c r="H283" s="299">
        <v>0</v>
      </c>
      <c r="I283" s="299">
        <v>0</v>
      </c>
      <c r="J283" s="299">
        <v>0</v>
      </c>
      <c r="K283" s="299">
        <v>0</v>
      </c>
      <c r="L283" s="299">
        <v>0</v>
      </c>
      <c r="M283" s="301"/>
      <c r="N283" s="302"/>
      <c r="O283" s="665"/>
    </row>
    <row r="284" spans="1:15" hidden="1" x14ac:dyDescent="0.25">
      <c r="A284" s="334">
        <v>5067</v>
      </c>
      <c r="B284" s="335" t="s">
        <v>1922</v>
      </c>
      <c r="C284" s="311" t="s">
        <v>1810</v>
      </c>
      <c r="D284" s="311" t="s">
        <v>1810</v>
      </c>
      <c r="E284" s="311" t="s">
        <v>1810</v>
      </c>
      <c r="F284" s="299">
        <v>0</v>
      </c>
      <c r="G284" s="299">
        <v>0</v>
      </c>
      <c r="H284" s="299">
        <v>0</v>
      </c>
      <c r="I284" s="299">
        <v>0</v>
      </c>
      <c r="J284" s="299">
        <v>0</v>
      </c>
      <c r="K284" s="299">
        <v>0</v>
      </c>
      <c r="L284" s="299">
        <v>0</v>
      </c>
      <c r="M284" s="301"/>
      <c r="N284" s="302"/>
      <c r="O284" s="665"/>
    </row>
    <row r="285" spans="1:15" hidden="1" x14ac:dyDescent="0.25">
      <c r="A285" s="334">
        <v>5068</v>
      </c>
      <c r="B285" s="335" t="s">
        <v>1923</v>
      </c>
      <c r="C285" s="311" t="s">
        <v>1810</v>
      </c>
      <c r="D285" s="311" t="s">
        <v>1810</v>
      </c>
      <c r="E285" s="311" t="s">
        <v>1810</v>
      </c>
      <c r="F285" s="299">
        <v>0</v>
      </c>
      <c r="G285" s="299">
        <v>0</v>
      </c>
      <c r="H285" s="299">
        <v>0</v>
      </c>
      <c r="I285" s="299">
        <v>0</v>
      </c>
      <c r="J285" s="299">
        <v>0</v>
      </c>
      <c r="K285" s="299">
        <v>0</v>
      </c>
      <c r="L285" s="299">
        <v>0</v>
      </c>
      <c r="M285" s="301"/>
      <c r="N285" s="302"/>
      <c r="O285" s="665"/>
    </row>
    <row r="286" spans="1:15" hidden="1" x14ac:dyDescent="0.25">
      <c r="A286" s="334">
        <v>5071</v>
      </c>
      <c r="B286" s="335" t="s">
        <v>1924</v>
      </c>
      <c r="C286" s="311" t="s">
        <v>1810</v>
      </c>
      <c r="D286" s="311" t="s">
        <v>1810</v>
      </c>
      <c r="E286" s="311" t="s">
        <v>1810</v>
      </c>
      <c r="F286" s="299">
        <v>0</v>
      </c>
      <c r="G286" s="299">
        <v>0</v>
      </c>
      <c r="H286" s="299">
        <v>0</v>
      </c>
      <c r="I286" s="299">
        <v>0</v>
      </c>
      <c r="J286" s="299">
        <v>0</v>
      </c>
      <c r="K286" s="299">
        <v>0</v>
      </c>
      <c r="L286" s="299">
        <v>0</v>
      </c>
      <c r="M286" s="301"/>
      <c r="N286" s="302"/>
      <c r="O286" s="665"/>
    </row>
    <row r="287" spans="1:15" hidden="1" x14ac:dyDescent="0.25">
      <c r="A287" s="334">
        <v>5072</v>
      </c>
      <c r="B287" s="335" t="s">
        <v>1925</v>
      </c>
      <c r="C287" s="311" t="s">
        <v>1810</v>
      </c>
      <c r="D287" s="311" t="s">
        <v>1810</v>
      </c>
      <c r="E287" s="311" t="s">
        <v>1810</v>
      </c>
      <c r="F287" s="299">
        <v>0</v>
      </c>
      <c r="G287" s="299">
        <v>0</v>
      </c>
      <c r="H287" s="299">
        <v>0</v>
      </c>
      <c r="I287" s="299">
        <v>0</v>
      </c>
      <c r="J287" s="299">
        <v>0</v>
      </c>
      <c r="K287" s="299">
        <v>0</v>
      </c>
      <c r="L287" s="299">
        <v>0</v>
      </c>
      <c r="M287" s="301"/>
      <c r="N287" s="302"/>
      <c r="O287" s="665"/>
    </row>
    <row r="288" spans="1:15" hidden="1" x14ac:dyDescent="0.25">
      <c r="A288" s="334">
        <v>5073</v>
      </c>
      <c r="B288" s="335" t="s">
        <v>1926</v>
      </c>
      <c r="C288" s="311" t="s">
        <v>1810</v>
      </c>
      <c r="D288" s="311" t="s">
        <v>1810</v>
      </c>
      <c r="E288" s="311" t="s">
        <v>1810</v>
      </c>
      <c r="F288" s="299">
        <v>0</v>
      </c>
      <c r="G288" s="299">
        <v>0</v>
      </c>
      <c r="H288" s="299">
        <v>0</v>
      </c>
      <c r="I288" s="299">
        <v>0</v>
      </c>
      <c r="J288" s="299">
        <v>0</v>
      </c>
      <c r="K288" s="299">
        <v>0</v>
      </c>
      <c r="L288" s="299">
        <v>0</v>
      </c>
      <c r="M288" s="301"/>
      <c r="N288" s="302"/>
      <c r="O288" s="665"/>
    </row>
    <row r="289" spans="1:15" hidden="1" x14ac:dyDescent="0.25">
      <c r="A289" s="334">
        <v>5074</v>
      </c>
      <c r="B289" s="335" t="s">
        <v>1927</v>
      </c>
      <c r="C289" s="311" t="s">
        <v>1810</v>
      </c>
      <c r="D289" s="311" t="s">
        <v>1810</v>
      </c>
      <c r="E289" s="311" t="s">
        <v>1810</v>
      </c>
      <c r="F289" s="299">
        <v>0</v>
      </c>
      <c r="G289" s="299">
        <v>0</v>
      </c>
      <c r="H289" s="299">
        <v>0</v>
      </c>
      <c r="I289" s="299">
        <v>0</v>
      </c>
      <c r="J289" s="299">
        <v>0</v>
      </c>
      <c r="K289" s="299">
        <v>0</v>
      </c>
      <c r="L289" s="299">
        <v>0</v>
      </c>
      <c r="M289" s="301"/>
      <c r="N289" s="302"/>
      <c r="O289" s="665"/>
    </row>
    <row r="290" spans="1:15" hidden="1" x14ac:dyDescent="0.25">
      <c r="A290" s="334">
        <v>5075</v>
      </c>
      <c r="B290" s="335" t="s">
        <v>1928</v>
      </c>
      <c r="C290" s="311" t="s">
        <v>1810</v>
      </c>
      <c r="D290" s="311" t="s">
        <v>1810</v>
      </c>
      <c r="E290" s="311" t="s">
        <v>1810</v>
      </c>
      <c r="F290" s="299">
        <v>0</v>
      </c>
      <c r="G290" s="299">
        <v>0</v>
      </c>
      <c r="H290" s="299">
        <v>0</v>
      </c>
      <c r="I290" s="299">
        <v>0</v>
      </c>
      <c r="J290" s="299">
        <v>0</v>
      </c>
      <c r="K290" s="299">
        <v>0</v>
      </c>
      <c r="L290" s="299">
        <v>0</v>
      </c>
      <c r="M290" s="301"/>
      <c r="N290" s="302"/>
      <c r="O290" s="665"/>
    </row>
    <row r="291" spans="1:15" hidden="1" x14ac:dyDescent="0.25">
      <c r="A291" s="334">
        <v>5078</v>
      </c>
      <c r="B291" s="335" t="s">
        <v>1929</v>
      </c>
      <c r="C291" s="311" t="s">
        <v>1810</v>
      </c>
      <c r="D291" s="311" t="s">
        <v>1810</v>
      </c>
      <c r="E291" s="311" t="s">
        <v>1810</v>
      </c>
      <c r="F291" s="299">
        <v>0</v>
      </c>
      <c r="G291" s="299">
        <v>0</v>
      </c>
      <c r="H291" s="299">
        <v>0</v>
      </c>
      <c r="I291" s="299">
        <v>0</v>
      </c>
      <c r="J291" s="299">
        <v>0</v>
      </c>
      <c r="K291" s="299">
        <v>0</v>
      </c>
      <c r="L291" s="299">
        <v>0</v>
      </c>
      <c r="M291" s="301"/>
      <c r="N291" s="302"/>
      <c r="O291" s="665"/>
    </row>
    <row r="292" spans="1:15" hidden="1" x14ac:dyDescent="0.25">
      <c r="A292" s="334">
        <v>5079</v>
      </c>
      <c r="B292" s="335" t="s">
        <v>1930</v>
      </c>
      <c r="C292" s="311" t="s">
        <v>1810</v>
      </c>
      <c r="D292" s="311" t="s">
        <v>1810</v>
      </c>
      <c r="E292" s="311" t="s">
        <v>1810</v>
      </c>
      <c r="F292" s="299">
        <v>0</v>
      </c>
      <c r="G292" s="299">
        <v>0</v>
      </c>
      <c r="H292" s="299">
        <v>0</v>
      </c>
      <c r="I292" s="299">
        <v>0</v>
      </c>
      <c r="J292" s="299">
        <v>0</v>
      </c>
      <c r="K292" s="299">
        <v>0</v>
      </c>
      <c r="L292" s="299">
        <v>0</v>
      </c>
      <c r="M292" s="301"/>
      <c r="N292" s="302"/>
      <c r="O292" s="665"/>
    </row>
    <row r="293" spans="1:15" hidden="1" x14ac:dyDescent="0.25">
      <c r="A293" s="334">
        <v>5081</v>
      </c>
      <c r="B293" s="335" t="s">
        <v>1931</v>
      </c>
      <c r="C293" s="311" t="s">
        <v>1810</v>
      </c>
      <c r="D293" s="311" t="s">
        <v>1810</v>
      </c>
      <c r="E293" s="311" t="s">
        <v>1810</v>
      </c>
      <c r="F293" s="299">
        <v>0</v>
      </c>
      <c r="G293" s="299">
        <v>0</v>
      </c>
      <c r="H293" s="299">
        <v>0</v>
      </c>
      <c r="I293" s="299">
        <v>0</v>
      </c>
      <c r="J293" s="299">
        <v>0</v>
      </c>
      <c r="K293" s="299">
        <v>0</v>
      </c>
      <c r="L293" s="299">
        <v>0</v>
      </c>
      <c r="M293" s="301"/>
      <c r="N293" s="302"/>
      <c r="O293" s="665"/>
    </row>
    <row r="294" spans="1:15" hidden="1" x14ac:dyDescent="0.25">
      <c r="A294" s="334">
        <v>5082</v>
      </c>
      <c r="B294" s="335" t="s">
        <v>1932</v>
      </c>
      <c r="C294" s="311" t="s">
        <v>1810</v>
      </c>
      <c r="D294" s="311" t="s">
        <v>1810</v>
      </c>
      <c r="E294" s="311" t="s">
        <v>1810</v>
      </c>
      <c r="F294" s="299">
        <v>0</v>
      </c>
      <c r="G294" s="299">
        <v>0</v>
      </c>
      <c r="H294" s="299">
        <v>0</v>
      </c>
      <c r="I294" s="299">
        <v>0</v>
      </c>
      <c r="J294" s="299">
        <v>0</v>
      </c>
      <c r="K294" s="299">
        <v>0</v>
      </c>
      <c r="L294" s="299">
        <v>0</v>
      </c>
      <c r="M294" s="301"/>
      <c r="N294" s="302"/>
      <c r="O294" s="665"/>
    </row>
    <row r="295" spans="1:15" hidden="1" x14ac:dyDescent="0.25">
      <c r="A295" s="334">
        <v>5084</v>
      </c>
      <c r="B295" s="335" t="s">
        <v>1933</v>
      </c>
      <c r="C295" s="311" t="s">
        <v>1810</v>
      </c>
      <c r="D295" s="311" t="s">
        <v>1810</v>
      </c>
      <c r="E295" s="311" t="s">
        <v>1810</v>
      </c>
      <c r="F295" s="299">
        <v>0</v>
      </c>
      <c r="G295" s="299">
        <v>0</v>
      </c>
      <c r="H295" s="299">
        <v>0</v>
      </c>
      <c r="I295" s="299">
        <v>0</v>
      </c>
      <c r="J295" s="299">
        <v>0</v>
      </c>
      <c r="K295" s="299">
        <v>0</v>
      </c>
      <c r="L295" s="299">
        <v>0</v>
      </c>
      <c r="M295" s="301"/>
      <c r="N295" s="302"/>
      <c r="O295" s="665"/>
    </row>
    <row r="296" spans="1:15" hidden="1" x14ac:dyDescent="0.25">
      <c r="A296" s="334">
        <v>5085</v>
      </c>
      <c r="B296" s="335" t="s">
        <v>1934</v>
      </c>
      <c r="C296" s="311" t="s">
        <v>1810</v>
      </c>
      <c r="D296" s="311" t="s">
        <v>1810</v>
      </c>
      <c r="E296" s="311" t="s">
        <v>1810</v>
      </c>
      <c r="F296" s="299">
        <v>0</v>
      </c>
      <c r="G296" s="299">
        <v>0</v>
      </c>
      <c r="H296" s="299">
        <v>0</v>
      </c>
      <c r="I296" s="299">
        <v>0</v>
      </c>
      <c r="J296" s="299">
        <v>0</v>
      </c>
      <c r="K296" s="299">
        <v>0</v>
      </c>
      <c r="L296" s="299">
        <v>0</v>
      </c>
      <c r="M296" s="301"/>
      <c r="N296" s="302"/>
      <c r="O296" s="665"/>
    </row>
    <row r="297" spans="1:15" hidden="1" x14ac:dyDescent="0.25">
      <c r="A297" s="334">
        <v>5086</v>
      </c>
      <c r="B297" s="335" t="s">
        <v>1935</v>
      </c>
      <c r="C297" s="311" t="s">
        <v>1810</v>
      </c>
      <c r="D297" s="311" t="s">
        <v>1810</v>
      </c>
      <c r="E297" s="311" t="s">
        <v>1810</v>
      </c>
      <c r="F297" s="299">
        <v>0</v>
      </c>
      <c r="G297" s="299">
        <v>0</v>
      </c>
      <c r="H297" s="299">
        <v>0</v>
      </c>
      <c r="I297" s="299">
        <v>0</v>
      </c>
      <c r="J297" s="299">
        <v>0</v>
      </c>
      <c r="K297" s="299">
        <v>0</v>
      </c>
      <c r="L297" s="299">
        <v>0</v>
      </c>
      <c r="M297" s="301"/>
      <c r="N297" s="302"/>
      <c r="O297" s="665"/>
    </row>
    <row r="298" spans="1:15" hidden="1" x14ac:dyDescent="0.25">
      <c r="A298" s="334">
        <v>5087</v>
      </c>
      <c r="B298" s="335" t="s">
        <v>1936</v>
      </c>
      <c r="C298" s="311" t="s">
        <v>1810</v>
      </c>
      <c r="D298" s="311" t="s">
        <v>1810</v>
      </c>
      <c r="E298" s="311" t="s">
        <v>1810</v>
      </c>
      <c r="F298" s="299">
        <v>0</v>
      </c>
      <c r="G298" s="299">
        <v>0</v>
      </c>
      <c r="H298" s="299">
        <v>0</v>
      </c>
      <c r="I298" s="299">
        <v>0</v>
      </c>
      <c r="J298" s="299">
        <v>0</v>
      </c>
      <c r="K298" s="299">
        <v>0</v>
      </c>
      <c r="L298" s="299">
        <v>0</v>
      </c>
      <c r="M298" s="301"/>
      <c r="N298" s="302"/>
      <c r="O298" s="665"/>
    </row>
    <row r="299" spans="1:15" hidden="1" x14ac:dyDescent="0.25">
      <c r="A299" s="334">
        <v>5088</v>
      </c>
      <c r="B299" s="335" t="s">
        <v>1937</v>
      </c>
      <c r="C299" s="311" t="s">
        <v>1810</v>
      </c>
      <c r="D299" s="311" t="s">
        <v>1810</v>
      </c>
      <c r="E299" s="311" t="s">
        <v>1810</v>
      </c>
      <c r="F299" s="299">
        <v>0</v>
      </c>
      <c r="G299" s="299">
        <v>0</v>
      </c>
      <c r="H299" s="299">
        <v>0</v>
      </c>
      <c r="I299" s="299">
        <v>0</v>
      </c>
      <c r="J299" s="299">
        <v>0</v>
      </c>
      <c r="K299" s="299">
        <v>0</v>
      </c>
      <c r="L299" s="299">
        <v>0</v>
      </c>
      <c r="M299" s="301"/>
      <c r="N299" s="302"/>
      <c r="O299" s="665"/>
    </row>
    <row r="300" spans="1:15" hidden="1" x14ac:dyDescent="0.25">
      <c r="A300" s="334">
        <v>5089</v>
      </c>
      <c r="B300" s="335" t="s">
        <v>1938</v>
      </c>
      <c r="C300" s="311" t="s">
        <v>1810</v>
      </c>
      <c r="D300" s="311" t="s">
        <v>1810</v>
      </c>
      <c r="E300" s="311" t="s">
        <v>1810</v>
      </c>
      <c r="F300" s="299">
        <v>0</v>
      </c>
      <c r="G300" s="299">
        <v>0</v>
      </c>
      <c r="H300" s="299">
        <v>0</v>
      </c>
      <c r="I300" s="299">
        <v>0</v>
      </c>
      <c r="J300" s="299">
        <v>0</v>
      </c>
      <c r="K300" s="299">
        <v>0</v>
      </c>
      <c r="L300" s="299">
        <v>0</v>
      </c>
      <c r="M300" s="301"/>
      <c r="N300" s="302"/>
      <c r="O300" s="665"/>
    </row>
    <row r="301" spans="1:15" hidden="1" x14ac:dyDescent="0.25">
      <c r="A301" s="334">
        <v>5091</v>
      </c>
      <c r="B301" s="335" t="s">
        <v>1939</v>
      </c>
      <c r="C301" s="311" t="s">
        <v>1810</v>
      </c>
      <c r="D301" s="311" t="s">
        <v>1810</v>
      </c>
      <c r="E301" s="311" t="s">
        <v>1810</v>
      </c>
      <c r="F301" s="299">
        <v>0</v>
      </c>
      <c r="G301" s="299">
        <v>0</v>
      </c>
      <c r="H301" s="299">
        <v>0</v>
      </c>
      <c r="I301" s="299">
        <v>0</v>
      </c>
      <c r="J301" s="299">
        <v>0</v>
      </c>
      <c r="K301" s="299">
        <v>0</v>
      </c>
      <c r="L301" s="299">
        <v>0</v>
      </c>
      <c r="M301" s="301"/>
      <c r="N301" s="302"/>
      <c r="O301" s="665"/>
    </row>
    <row r="302" spans="1:15" hidden="1" x14ac:dyDescent="0.25">
      <c r="A302" s="334">
        <v>5092</v>
      </c>
      <c r="B302" s="335" t="s">
        <v>1940</v>
      </c>
      <c r="C302" s="311" t="s">
        <v>1810</v>
      </c>
      <c r="D302" s="311" t="s">
        <v>1810</v>
      </c>
      <c r="E302" s="311" t="s">
        <v>1810</v>
      </c>
      <c r="F302" s="299">
        <v>0</v>
      </c>
      <c r="G302" s="299">
        <v>0</v>
      </c>
      <c r="H302" s="299">
        <v>0</v>
      </c>
      <c r="I302" s="299">
        <v>0</v>
      </c>
      <c r="J302" s="299">
        <v>0</v>
      </c>
      <c r="K302" s="299">
        <v>0</v>
      </c>
      <c r="L302" s="299">
        <v>0</v>
      </c>
      <c r="M302" s="301"/>
      <c r="N302" s="302"/>
      <c r="O302" s="665"/>
    </row>
    <row r="303" spans="1:15" hidden="1" x14ac:dyDescent="0.25">
      <c r="A303" s="334">
        <v>5093</v>
      </c>
      <c r="B303" s="335" t="s">
        <v>1941</v>
      </c>
      <c r="C303" s="311" t="s">
        <v>1810</v>
      </c>
      <c r="D303" s="311" t="s">
        <v>1810</v>
      </c>
      <c r="E303" s="311" t="s">
        <v>1810</v>
      </c>
      <c r="F303" s="299">
        <v>0</v>
      </c>
      <c r="G303" s="299">
        <v>0</v>
      </c>
      <c r="H303" s="299">
        <v>0</v>
      </c>
      <c r="I303" s="299">
        <v>0</v>
      </c>
      <c r="J303" s="299">
        <v>0</v>
      </c>
      <c r="K303" s="299">
        <v>0</v>
      </c>
      <c r="L303" s="299">
        <v>0</v>
      </c>
      <c r="M303" s="301"/>
      <c r="N303" s="302"/>
      <c r="O303" s="665"/>
    </row>
    <row r="304" spans="1:15" hidden="1" x14ac:dyDescent="0.25">
      <c r="A304" s="334">
        <v>5094</v>
      </c>
      <c r="B304" s="335" t="s">
        <v>1942</v>
      </c>
      <c r="C304" s="311" t="s">
        <v>1810</v>
      </c>
      <c r="D304" s="311" t="s">
        <v>1810</v>
      </c>
      <c r="E304" s="311" t="s">
        <v>1810</v>
      </c>
      <c r="F304" s="299">
        <v>0</v>
      </c>
      <c r="G304" s="299">
        <v>0</v>
      </c>
      <c r="H304" s="299">
        <v>0</v>
      </c>
      <c r="I304" s="299">
        <v>0</v>
      </c>
      <c r="J304" s="299">
        <v>0</v>
      </c>
      <c r="K304" s="299">
        <v>0</v>
      </c>
      <c r="L304" s="299">
        <v>0</v>
      </c>
      <c r="M304" s="301"/>
      <c r="N304" s="302"/>
      <c r="O304" s="665"/>
    </row>
    <row r="305" spans="1:15" hidden="1" x14ac:dyDescent="0.25">
      <c r="A305" s="334">
        <v>5095</v>
      </c>
      <c r="B305" s="335" t="s">
        <v>1943</v>
      </c>
      <c r="C305" s="311" t="s">
        <v>1810</v>
      </c>
      <c r="D305" s="311" t="s">
        <v>1810</v>
      </c>
      <c r="E305" s="311" t="s">
        <v>1810</v>
      </c>
      <c r="F305" s="299">
        <v>0</v>
      </c>
      <c r="G305" s="299">
        <v>0</v>
      </c>
      <c r="H305" s="299">
        <v>0</v>
      </c>
      <c r="I305" s="299">
        <v>0</v>
      </c>
      <c r="J305" s="299">
        <v>0</v>
      </c>
      <c r="K305" s="299">
        <v>0</v>
      </c>
      <c r="L305" s="299">
        <v>0</v>
      </c>
      <c r="M305" s="301"/>
      <c r="N305" s="302"/>
      <c r="O305" s="665"/>
    </row>
    <row r="306" spans="1:15" hidden="1" x14ac:dyDescent="0.25">
      <c r="A306" s="334">
        <v>5096</v>
      </c>
      <c r="B306" s="335" t="s">
        <v>1944</v>
      </c>
      <c r="C306" s="311" t="s">
        <v>1810</v>
      </c>
      <c r="D306" s="311" t="s">
        <v>1810</v>
      </c>
      <c r="E306" s="311" t="s">
        <v>1810</v>
      </c>
      <c r="F306" s="299">
        <v>0</v>
      </c>
      <c r="G306" s="299">
        <v>0</v>
      </c>
      <c r="H306" s="299">
        <v>0</v>
      </c>
      <c r="I306" s="299">
        <v>0</v>
      </c>
      <c r="J306" s="299">
        <v>0</v>
      </c>
      <c r="K306" s="299">
        <v>0</v>
      </c>
      <c r="L306" s="299">
        <v>0</v>
      </c>
      <c r="M306" s="301"/>
      <c r="N306" s="302"/>
      <c r="O306" s="665"/>
    </row>
    <row r="307" spans="1:15" hidden="1" x14ac:dyDescent="0.25">
      <c r="A307" s="334">
        <v>5097</v>
      </c>
      <c r="B307" s="335" t="s">
        <v>1945</v>
      </c>
      <c r="C307" s="311" t="s">
        <v>1810</v>
      </c>
      <c r="D307" s="311" t="s">
        <v>1810</v>
      </c>
      <c r="E307" s="311" t="s">
        <v>1810</v>
      </c>
      <c r="F307" s="299">
        <v>0</v>
      </c>
      <c r="G307" s="299">
        <v>0</v>
      </c>
      <c r="H307" s="299">
        <v>0</v>
      </c>
      <c r="I307" s="299">
        <v>0</v>
      </c>
      <c r="J307" s="299">
        <v>0</v>
      </c>
      <c r="K307" s="299">
        <v>0</v>
      </c>
      <c r="L307" s="299">
        <v>0</v>
      </c>
      <c r="M307" s="301"/>
      <c r="N307" s="302"/>
      <c r="O307" s="665"/>
    </row>
    <row r="308" spans="1:15" hidden="1" x14ac:dyDescent="0.25">
      <c r="A308" s="334">
        <v>5100</v>
      </c>
      <c r="B308" s="335" t="s">
        <v>1946</v>
      </c>
      <c r="C308" s="311" t="s">
        <v>1810</v>
      </c>
      <c r="D308" s="311" t="s">
        <v>1810</v>
      </c>
      <c r="E308" s="311" t="s">
        <v>1810</v>
      </c>
      <c r="F308" s="299">
        <v>0</v>
      </c>
      <c r="G308" s="299">
        <v>0</v>
      </c>
      <c r="H308" s="299">
        <v>0</v>
      </c>
      <c r="I308" s="299">
        <v>0</v>
      </c>
      <c r="J308" s="299">
        <v>0</v>
      </c>
      <c r="K308" s="299">
        <v>0</v>
      </c>
      <c r="L308" s="299">
        <v>0</v>
      </c>
      <c r="M308" s="301"/>
      <c r="N308" s="302"/>
      <c r="O308" s="665"/>
    </row>
    <row r="309" spans="1:15" hidden="1" x14ac:dyDescent="0.25">
      <c r="A309" s="334">
        <v>5101</v>
      </c>
      <c r="B309" s="335" t="s">
        <v>1947</v>
      </c>
      <c r="C309" s="311" t="s">
        <v>1810</v>
      </c>
      <c r="D309" s="311" t="s">
        <v>1810</v>
      </c>
      <c r="E309" s="311" t="s">
        <v>1810</v>
      </c>
      <c r="F309" s="299">
        <v>0</v>
      </c>
      <c r="G309" s="299">
        <v>0</v>
      </c>
      <c r="H309" s="299">
        <v>0</v>
      </c>
      <c r="I309" s="299">
        <v>0</v>
      </c>
      <c r="J309" s="299">
        <v>0</v>
      </c>
      <c r="K309" s="299">
        <v>0</v>
      </c>
      <c r="L309" s="299">
        <v>0</v>
      </c>
      <c r="M309" s="301"/>
      <c r="N309" s="302"/>
      <c r="O309" s="665"/>
    </row>
    <row r="310" spans="1:15" hidden="1" x14ac:dyDescent="0.25">
      <c r="A310" s="334">
        <v>5107</v>
      </c>
      <c r="B310" s="335" t="s">
        <v>1948</v>
      </c>
      <c r="C310" s="311" t="s">
        <v>1810</v>
      </c>
      <c r="D310" s="311" t="s">
        <v>1810</v>
      </c>
      <c r="E310" s="311" t="s">
        <v>1810</v>
      </c>
      <c r="F310" s="299">
        <v>0</v>
      </c>
      <c r="G310" s="299">
        <v>0</v>
      </c>
      <c r="H310" s="299">
        <v>0</v>
      </c>
      <c r="I310" s="299">
        <v>0</v>
      </c>
      <c r="J310" s="299">
        <v>0</v>
      </c>
      <c r="K310" s="299">
        <v>0</v>
      </c>
      <c r="L310" s="299">
        <v>0</v>
      </c>
      <c r="M310" s="301"/>
      <c r="N310" s="302"/>
      <c r="O310" s="665"/>
    </row>
    <row r="311" spans="1:15" hidden="1" x14ac:dyDescent="0.25">
      <c r="A311" s="334">
        <v>5109</v>
      </c>
      <c r="B311" s="335" t="s">
        <v>1949</v>
      </c>
      <c r="C311" s="311" t="s">
        <v>1810</v>
      </c>
      <c r="D311" s="311" t="s">
        <v>1810</v>
      </c>
      <c r="E311" s="311" t="s">
        <v>1810</v>
      </c>
      <c r="F311" s="299">
        <v>0</v>
      </c>
      <c r="G311" s="299">
        <v>0</v>
      </c>
      <c r="H311" s="299">
        <v>0</v>
      </c>
      <c r="I311" s="299">
        <v>0</v>
      </c>
      <c r="J311" s="299">
        <v>0</v>
      </c>
      <c r="K311" s="299">
        <v>0</v>
      </c>
      <c r="L311" s="299">
        <v>0</v>
      </c>
      <c r="M311" s="301"/>
      <c r="N311" s="302"/>
      <c r="O311" s="665"/>
    </row>
    <row r="312" spans="1:15" hidden="1" x14ac:dyDescent="0.25">
      <c r="A312" s="334">
        <v>5110</v>
      </c>
      <c r="B312" s="335" t="s">
        <v>1950</v>
      </c>
      <c r="C312" s="311" t="s">
        <v>1810</v>
      </c>
      <c r="D312" s="311" t="s">
        <v>1810</v>
      </c>
      <c r="E312" s="311" t="s">
        <v>1810</v>
      </c>
      <c r="F312" s="299">
        <v>0</v>
      </c>
      <c r="G312" s="299">
        <v>0</v>
      </c>
      <c r="H312" s="299">
        <v>0</v>
      </c>
      <c r="I312" s="299">
        <v>0</v>
      </c>
      <c r="J312" s="299">
        <v>0</v>
      </c>
      <c r="K312" s="299">
        <v>0</v>
      </c>
      <c r="L312" s="299">
        <v>0</v>
      </c>
      <c r="M312" s="301"/>
      <c r="N312" s="302"/>
      <c r="O312" s="665"/>
    </row>
    <row r="313" spans="1:15" hidden="1" x14ac:dyDescent="0.25">
      <c r="A313" s="334">
        <v>5115</v>
      </c>
      <c r="B313" s="335" t="s">
        <v>1951</v>
      </c>
      <c r="C313" s="311" t="s">
        <v>1810</v>
      </c>
      <c r="D313" s="311" t="s">
        <v>1810</v>
      </c>
      <c r="E313" s="311" t="s">
        <v>1810</v>
      </c>
      <c r="F313" s="299">
        <v>0</v>
      </c>
      <c r="G313" s="299">
        <v>0</v>
      </c>
      <c r="H313" s="299">
        <v>0</v>
      </c>
      <c r="I313" s="299">
        <v>0</v>
      </c>
      <c r="J313" s="299">
        <v>0</v>
      </c>
      <c r="K313" s="299">
        <v>0</v>
      </c>
      <c r="L313" s="299">
        <v>0</v>
      </c>
      <c r="M313" s="301"/>
      <c r="N313" s="302"/>
      <c r="O313" s="665"/>
    </row>
    <row r="314" spans="1:15" hidden="1" x14ac:dyDescent="0.25">
      <c r="A314" s="334">
        <v>5116</v>
      </c>
      <c r="B314" s="335" t="s">
        <v>1952</v>
      </c>
      <c r="C314" s="311" t="s">
        <v>1810</v>
      </c>
      <c r="D314" s="311" t="s">
        <v>1810</v>
      </c>
      <c r="E314" s="311" t="s">
        <v>1810</v>
      </c>
      <c r="F314" s="299">
        <v>0</v>
      </c>
      <c r="G314" s="299">
        <v>0</v>
      </c>
      <c r="H314" s="299">
        <v>0</v>
      </c>
      <c r="I314" s="299">
        <v>0</v>
      </c>
      <c r="J314" s="299">
        <v>0</v>
      </c>
      <c r="K314" s="299">
        <v>0</v>
      </c>
      <c r="L314" s="299">
        <v>0</v>
      </c>
      <c r="M314" s="301"/>
      <c r="N314" s="302"/>
      <c r="O314" s="665"/>
    </row>
    <row r="315" spans="1:15" hidden="1" x14ac:dyDescent="0.25">
      <c r="A315" s="334">
        <v>5134</v>
      </c>
      <c r="B315" s="335" t="s">
        <v>1953</v>
      </c>
      <c r="C315" s="311" t="s">
        <v>1810</v>
      </c>
      <c r="D315" s="311" t="s">
        <v>1810</v>
      </c>
      <c r="E315" s="311" t="s">
        <v>1810</v>
      </c>
      <c r="F315" s="299">
        <v>0</v>
      </c>
      <c r="G315" s="299">
        <v>0</v>
      </c>
      <c r="H315" s="299">
        <v>0</v>
      </c>
      <c r="I315" s="299">
        <v>0</v>
      </c>
      <c r="J315" s="299">
        <v>0</v>
      </c>
      <c r="K315" s="299">
        <v>0</v>
      </c>
      <c r="L315" s="299">
        <v>0</v>
      </c>
      <c r="M315" s="301"/>
      <c r="N315" s="302"/>
      <c r="O315" s="665"/>
    </row>
    <row r="316" spans="1:15" hidden="1" x14ac:dyDescent="0.25">
      <c r="A316" s="334">
        <v>5141</v>
      </c>
      <c r="B316" s="335" t="s">
        <v>1954</v>
      </c>
      <c r="C316" s="311" t="s">
        <v>1810</v>
      </c>
      <c r="D316" s="311" t="s">
        <v>1810</v>
      </c>
      <c r="E316" s="311" t="s">
        <v>1810</v>
      </c>
      <c r="F316" s="299">
        <v>0</v>
      </c>
      <c r="G316" s="299">
        <v>0</v>
      </c>
      <c r="H316" s="299">
        <v>0</v>
      </c>
      <c r="I316" s="299">
        <v>0</v>
      </c>
      <c r="J316" s="299">
        <v>0</v>
      </c>
      <c r="K316" s="299">
        <v>0</v>
      </c>
      <c r="L316" s="299">
        <v>0</v>
      </c>
      <c r="M316" s="301"/>
      <c r="N316" s="302"/>
      <c r="O316" s="665"/>
    </row>
    <row r="317" spans="1:15" hidden="1" x14ac:dyDescent="0.25">
      <c r="A317" s="334">
        <v>5150</v>
      </c>
      <c r="B317" s="335" t="s">
        <v>1955</v>
      </c>
      <c r="C317" s="311" t="s">
        <v>1810</v>
      </c>
      <c r="D317" s="311" t="s">
        <v>1810</v>
      </c>
      <c r="E317" s="311" t="s">
        <v>1810</v>
      </c>
      <c r="F317" s="299">
        <v>0</v>
      </c>
      <c r="G317" s="299">
        <v>0</v>
      </c>
      <c r="H317" s="299">
        <v>0</v>
      </c>
      <c r="I317" s="299">
        <v>0</v>
      </c>
      <c r="J317" s="299">
        <v>0</v>
      </c>
      <c r="K317" s="299">
        <v>0</v>
      </c>
      <c r="L317" s="299">
        <v>0</v>
      </c>
      <c r="M317" s="301"/>
      <c r="N317" s="302"/>
      <c r="O317" s="665"/>
    </row>
    <row r="318" spans="1:15" hidden="1" x14ac:dyDescent="0.25">
      <c r="A318" s="334">
        <v>5158</v>
      </c>
      <c r="B318" s="335" t="s">
        <v>1956</v>
      </c>
      <c r="C318" s="311" t="s">
        <v>1810</v>
      </c>
      <c r="D318" s="311" t="s">
        <v>1810</v>
      </c>
      <c r="E318" s="311" t="s">
        <v>1810</v>
      </c>
      <c r="F318" s="299">
        <v>0</v>
      </c>
      <c r="G318" s="299">
        <v>0</v>
      </c>
      <c r="H318" s="299">
        <v>0</v>
      </c>
      <c r="I318" s="299">
        <v>0</v>
      </c>
      <c r="J318" s="299">
        <v>0</v>
      </c>
      <c r="K318" s="299">
        <v>0</v>
      </c>
      <c r="L318" s="299">
        <v>0</v>
      </c>
      <c r="M318" s="301"/>
      <c r="N318" s="302"/>
      <c r="O318" s="665"/>
    </row>
    <row r="319" spans="1:15" hidden="1" x14ac:dyDescent="0.25">
      <c r="A319" s="334">
        <v>5161</v>
      </c>
      <c r="B319" s="335" t="s">
        <v>1957</v>
      </c>
      <c r="C319" s="311" t="s">
        <v>1810</v>
      </c>
      <c r="D319" s="311" t="s">
        <v>1810</v>
      </c>
      <c r="E319" s="311" t="s">
        <v>1810</v>
      </c>
      <c r="F319" s="299">
        <v>0</v>
      </c>
      <c r="G319" s="299">
        <v>0</v>
      </c>
      <c r="H319" s="299">
        <v>0</v>
      </c>
      <c r="I319" s="299">
        <v>0</v>
      </c>
      <c r="J319" s="299">
        <v>0</v>
      </c>
      <c r="K319" s="299">
        <v>0</v>
      </c>
      <c r="L319" s="299">
        <v>0</v>
      </c>
      <c r="M319" s="301"/>
      <c r="N319" s="302"/>
      <c r="O319" s="665"/>
    </row>
    <row r="320" spans="1:15" hidden="1" x14ac:dyDescent="0.25">
      <c r="A320" s="334">
        <v>5162</v>
      </c>
      <c r="B320" s="335" t="s">
        <v>1958</v>
      </c>
      <c r="C320" s="311" t="s">
        <v>1810</v>
      </c>
      <c r="D320" s="311" t="s">
        <v>1810</v>
      </c>
      <c r="E320" s="311" t="s">
        <v>1810</v>
      </c>
      <c r="F320" s="299">
        <v>0</v>
      </c>
      <c r="G320" s="299">
        <v>0</v>
      </c>
      <c r="H320" s="299">
        <v>0</v>
      </c>
      <c r="I320" s="299">
        <v>0</v>
      </c>
      <c r="J320" s="299">
        <v>0</v>
      </c>
      <c r="K320" s="299">
        <v>0</v>
      </c>
      <c r="L320" s="299">
        <v>0</v>
      </c>
      <c r="M320" s="301"/>
      <c r="N320" s="302"/>
      <c r="O320" s="665"/>
    </row>
    <row r="321" spans="1:15" hidden="1" x14ac:dyDescent="0.25">
      <c r="A321" s="334">
        <v>5165</v>
      </c>
      <c r="B321" s="335" t="s">
        <v>1959</v>
      </c>
      <c r="C321" s="311" t="s">
        <v>1810</v>
      </c>
      <c r="D321" s="311" t="s">
        <v>1810</v>
      </c>
      <c r="E321" s="311" t="s">
        <v>1810</v>
      </c>
      <c r="F321" s="299">
        <v>0</v>
      </c>
      <c r="G321" s="299">
        <v>0</v>
      </c>
      <c r="H321" s="299">
        <v>0</v>
      </c>
      <c r="I321" s="299">
        <v>0</v>
      </c>
      <c r="J321" s="299">
        <v>0</v>
      </c>
      <c r="K321" s="299">
        <v>0</v>
      </c>
      <c r="L321" s="299">
        <v>0</v>
      </c>
      <c r="M321" s="301"/>
      <c r="N321" s="302"/>
      <c r="O321" s="665"/>
    </row>
    <row r="322" spans="1:15" hidden="1" x14ac:dyDescent="0.25">
      <c r="A322" s="334">
        <v>5167</v>
      </c>
      <c r="B322" s="335" t="s">
        <v>1960</v>
      </c>
      <c r="C322" s="311" t="s">
        <v>1810</v>
      </c>
      <c r="D322" s="311" t="s">
        <v>1810</v>
      </c>
      <c r="E322" s="311" t="s">
        <v>1810</v>
      </c>
      <c r="F322" s="299">
        <v>0</v>
      </c>
      <c r="G322" s="299">
        <v>0</v>
      </c>
      <c r="H322" s="299">
        <v>0</v>
      </c>
      <c r="I322" s="299">
        <v>0</v>
      </c>
      <c r="J322" s="299">
        <v>0</v>
      </c>
      <c r="K322" s="299">
        <v>0</v>
      </c>
      <c r="L322" s="299">
        <v>0</v>
      </c>
      <c r="M322" s="301"/>
      <c r="N322" s="302"/>
      <c r="O322" s="665"/>
    </row>
    <row r="323" spans="1:15" hidden="1" x14ac:dyDescent="0.25">
      <c r="A323" s="334">
        <v>5170</v>
      </c>
      <c r="B323" s="335" t="s">
        <v>1961</v>
      </c>
      <c r="C323" s="311" t="s">
        <v>1810</v>
      </c>
      <c r="D323" s="311" t="s">
        <v>1810</v>
      </c>
      <c r="E323" s="311" t="s">
        <v>1810</v>
      </c>
      <c r="F323" s="299">
        <v>0</v>
      </c>
      <c r="G323" s="299">
        <v>0</v>
      </c>
      <c r="H323" s="299">
        <v>0</v>
      </c>
      <c r="I323" s="299">
        <v>0</v>
      </c>
      <c r="J323" s="299">
        <v>0</v>
      </c>
      <c r="K323" s="299">
        <v>0</v>
      </c>
      <c r="L323" s="299">
        <v>0</v>
      </c>
      <c r="M323" s="301"/>
      <c r="N323" s="302"/>
      <c r="O323" s="665"/>
    </row>
    <row r="324" spans="1:15" hidden="1" x14ac:dyDescent="0.25">
      <c r="A324" s="334">
        <v>5178</v>
      </c>
      <c r="B324" s="335" t="s">
        <v>1962</v>
      </c>
      <c r="C324" s="311" t="s">
        <v>1810</v>
      </c>
      <c r="D324" s="311" t="s">
        <v>1810</v>
      </c>
      <c r="E324" s="311" t="s">
        <v>1810</v>
      </c>
      <c r="F324" s="299">
        <v>0</v>
      </c>
      <c r="G324" s="299">
        <v>0</v>
      </c>
      <c r="H324" s="299">
        <v>0</v>
      </c>
      <c r="I324" s="299">
        <v>0</v>
      </c>
      <c r="J324" s="299">
        <v>0</v>
      </c>
      <c r="K324" s="299">
        <v>0</v>
      </c>
      <c r="L324" s="299">
        <v>0</v>
      </c>
      <c r="M324" s="301"/>
      <c r="N324" s="302"/>
      <c r="O324" s="665"/>
    </row>
    <row r="325" spans="1:15" hidden="1" x14ac:dyDescent="0.25">
      <c r="A325" s="334">
        <v>5185</v>
      </c>
      <c r="B325" s="335" t="s">
        <v>1963</v>
      </c>
      <c r="C325" s="311" t="s">
        <v>1810</v>
      </c>
      <c r="D325" s="311" t="s">
        <v>1810</v>
      </c>
      <c r="E325" s="311" t="s">
        <v>1810</v>
      </c>
      <c r="F325" s="299">
        <v>0</v>
      </c>
      <c r="G325" s="299">
        <v>0</v>
      </c>
      <c r="H325" s="299">
        <v>0</v>
      </c>
      <c r="I325" s="299">
        <v>0</v>
      </c>
      <c r="J325" s="299">
        <v>0</v>
      </c>
      <c r="K325" s="299">
        <v>0</v>
      </c>
      <c r="L325" s="299">
        <v>0</v>
      </c>
      <c r="M325" s="301"/>
      <c r="N325" s="302"/>
      <c r="O325" s="665"/>
    </row>
    <row r="326" spans="1:15" hidden="1" x14ac:dyDescent="0.25">
      <c r="A326" s="334">
        <v>5186</v>
      </c>
      <c r="B326" s="335" t="s">
        <v>1964</v>
      </c>
      <c r="C326" s="311" t="s">
        <v>1810</v>
      </c>
      <c r="D326" s="311" t="s">
        <v>1810</v>
      </c>
      <c r="E326" s="311" t="s">
        <v>1810</v>
      </c>
      <c r="F326" s="299">
        <v>0</v>
      </c>
      <c r="G326" s="299">
        <v>0</v>
      </c>
      <c r="H326" s="299">
        <v>0</v>
      </c>
      <c r="I326" s="299">
        <v>0</v>
      </c>
      <c r="J326" s="299">
        <v>0</v>
      </c>
      <c r="K326" s="299">
        <v>0</v>
      </c>
      <c r="L326" s="299">
        <v>0</v>
      </c>
      <c r="M326" s="301"/>
      <c r="N326" s="302"/>
      <c r="O326" s="665"/>
    </row>
    <row r="327" spans="1:15" hidden="1" x14ac:dyDescent="0.25">
      <c r="A327" s="334">
        <v>5196</v>
      </c>
      <c r="B327" s="335" t="s">
        <v>1965</v>
      </c>
      <c r="C327" s="311" t="s">
        <v>1810</v>
      </c>
      <c r="D327" s="311" t="s">
        <v>1810</v>
      </c>
      <c r="E327" s="311" t="s">
        <v>1810</v>
      </c>
      <c r="F327" s="299">
        <v>0</v>
      </c>
      <c r="G327" s="299">
        <v>0</v>
      </c>
      <c r="H327" s="299">
        <v>0</v>
      </c>
      <c r="I327" s="299">
        <v>0</v>
      </c>
      <c r="J327" s="299">
        <v>0</v>
      </c>
      <c r="K327" s="299">
        <v>0</v>
      </c>
      <c r="L327" s="299">
        <v>0</v>
      </c>
      <c r="M327" s="301"/>
      <c r="N327" s="302"/>
      <c r="O327" s="665"/>
    </row>
    <row r="328" spans="1:15" hidden="1" x14ac:dyDescent="0.25">
      <c r="A328" s="334">
        <v>5198</v>
      </c>
      <c r="B328" s="335" t="s">
        <v>1966</v>
      </c>
      <c r="C328" s="311" t="s">
        <v>1810</v>
      </c>
      <c r="D328" s="311" t="s">
        <v>1810</v>
      </c>
      <c r="E328" s="311" t="s">
        <v>1810</v>
      </c>
      <c r="F328" s="299">
        <v>0</v>
      </c>
      <c r="G328" s="299">
        <v>0</v>
      </c>
      <c r="H328" s="299">
        <v>0</v>
      </c>
      <c r="I328" s="299">
        <v>0</v>
      </c>
      <c r="J328" s="299">
        <v>0</v>
      </c>
      <c r="K328" s="299">
        <v>0</v>
      </c>
      <c r="L328" s="299">
        <v>0</v>
      </c>
      <c r="M328" s="301"/>
      <c r="N328" s="302"/>
      <c r="O328" s="665"/>
    </row>
    <row r="329" spans="1:15" hidden="1" x14ac:dyDescent="0.25">
      <c r="A329" s="334">
        <v>5213</v>
      </c>
      <c r="B329" s="335" t="s">
        <v>1967</v>
      </c>
      <c r="C329" s="311" t="s">
        <v>1810</v>
      </c>
      <c r="D329" s="311" t="s">
        <v>1810</v>
      </c>
      <c r="E329" s="311" t="s">
        <v>1810</v>
      </c>
      <c r="F329" s="299">
        <v>0</v>
      </c>
      <c r="G329" s="299">
        <v>0</v>
      </c>
      <c r="H329" s="299">
        <v>0</v>
      </c>
      <c r="I329" s="299">
        <v>0</v>
      </c>
      <c r="J329" s="299">
        <v>0</v>
      </c>
      <c r="K329" s="299">
        <v>0</v>
      </c>
      <c r="L329" s="299">
        <v>0</v>
      </c>
      <c r="M329" s="301"/>
      <c r="N329" s="302"/>
      <c r="O329" s="665"/>
    </row>
    <row r="330" spans="1:15" hidden="1" x14ac:dyDescent="0.25">
      <c r="A330" s="334">
        <v>5235</v>
      </c>
      <c r="B330" s="335" t="s">
        <v>1968</v>
      </c>
      <c r="C330" s="311" t="s">
        <v>1810</v>
      </c>
      <c r="D330" s="311" t="s">
        <v>1810</v>
      </c>
      <c r="E330" s="311" t="s">
        <v>1810</v>
      </c>
      <c r="F330" s="299">
        <v>0</v>
      </c>
      <c r="G330" s="299">
        <v>0</v>
      </c>
      <c r="H330" s="299">
        <v>0</v>
      </c>
      <c r="I330" s="299">
        <v>0</v>
      </c>
      <c r="J330" s="299">
        <v>0</v>
      </c>
      <c r="K330" s="299">
        <v>0</v>
      </c>
      <c r="L330" s="299">
        <v>0</v>
      </c>
      <c r="M330" s="301"/>
      <c r="N330" s="302"/>
      <c r="O330" s="665"/>
    </row>
    <row r="331" spans="1:15" hidden="1" x14ac:dyDescent="0.25">
      <c r="A331" s="334">
        <v>5241</v>
      </c>
      <c r="B331" s="335" t="s">
        <v>1969</v>
      </c>
      <c r="C331" s="311" t="s">
        <v>1810</v>
      </c>
      <c r="D331" s="311" t="s">
        <v>1810</v>
      </c>
      <c r="E331" s="311" t="s">
        <v>1810</v>
      </c>
      <c r="F331" s="299">
        <v>0</v>
      </c>
      <c r="G331" s="299">
        <v>0</v>
      </c>
      <c r="H331" s="299">
        <v>0</v>
      </c>
      <c r="I331" s="299">
        <v>0</v>
      </c>
      <c r="J331" s="299">
        <v>0</v>
      </c>
      <c r="K331" s="299">
        <v>0</v>
      </c>
      <c r="L331" s="299">
        <v>0</v>
      </c>
      <c r="M331" s="301"/>
      <c r="N331" s="302"/>
      <c r="O331" s="665"/>
    </row>
    <row r="332" spans="1:15" hidden="1" x14ac:dyDescent="0.25">
      <c r="A332" s="334">
        <v>5273</v>
      </c>
      <c r="B332" s="335" t="s">
        <v>1970</v>
      </c>
      <c r="C332" s="311" t="s">
        <v>1810</v>
      </c>
      <c r="D332" s="311" t="s">
        <v>1810</v>
      </c>
      <c r="E332" s="311" t="s">
        <v>1810</v>
      </c>
      <c r="F332" s="299">
        <v>0</v>
      </c>
      <c r="G332" s="299">
        <v>0</v>
      </c>
      <c r="H332" s="299">
        <v>0</v>
      </c>
      <c r="I332" s="299">
        <v>0</v>
      </c>
      <c r="J332" s="299">
        <v>0</v>
      </c>
      <c r="K332" s="299">
        <v>0</v>
      </c>
      <c r="L332" s="299">
        <v>0</v>
      </c>
      <c r="M332" s="301"/>
      <c r="N332" s="302"/>
      <c r="O332" s="665"/>
    </row>
    <row r="333" spans="1:15" hidden="1" x14ac:dyDescent="0.25">
      <c r="A333" s="334">
        <v>5325</v>
      </c>
      <c r="B333" s="335" t="s">
        <v>1971</v>
      </c>
      <c r="C333" s="311" t="s">
        <v>1810</v>
      </c>
      <c r="D333" s="311" t="s">
        <v>1810</v>
      </c>
      <c r="E333" s="311" t="s">
        <v>1810</v>
      </c>
      <c r="F333" s="299">
        <v>0</v>
      </c>
      <c r="G333" s="299">
        <v>0</v>
      </c>
      <c r="H333" s="299">
        <v>0</v>
      </c>
      <c r="I333" s="299">
        <v>0</v>
      </c>
      <c r="J333" s="299">
        <v>0</v>
      </c>
      <c r="K333" s="299">
        <v>0</v>
      </c>
      <c r="L333" s="299">
        <v>0</v>
      </c>
      <c r="M333" s="301"/>
      <c r="N333" s="302"/>
      <c r="O333" s="665"/>
    </row>
    <row r="334" spans="1:15" hidden="1" x14ac:dyDescent="0.25">
      <c r="A334" s="334">
        <v>5331</v>
      </c>
      <c r="B334" s="335" t="s">
        <v>1972</v>
      </c>
      <c r="C334" s="311" t="s">
        <v>1810</v>
      </c>
      <c r="D334" s="311" t="s">
        <v>1810</v>
      </c>
      <c r="E334" s="311" t="s">
        <v>1810</v>
      </c>
      <c r="F334" s="299">
        <v>0</v>
      </c>
      <c r="G334" s="299">
        <v>0</v>
      </c>
      <c r="H334" s="299">
        <v>0</v>
      </c>
      <c r="I334" s="299">
        <v>0</v>
      </c>
      <c r="J334" s="299">
        <v>0</v>
      </c>
      <c r="K334" s="299">
        <v>0</v>
      </c>
      <c r="L334" s="299">
        <v>0</v>
      </c>
      <c r="M334" s="301"/>
      <c r="N334" s="302"/>
      <c r="O334" s="665"/>
    </row>
    <row r="335" spans="1:15" hidden="1" x14ac:dyDescent="0.25">
      <c r="A335" s="334">
        <v>5352</v>
      </c>
      <c r="B335" s="335" t="s">
        <v>1973</v>
      </c>
      <c r="C335" s="311" t="s">
        <v>1810</v>
      </c>
      <c r="D335" s="311" t="s">
        <v>1810</v>
      </c>
      <c r="E335" s="311" t="s">
        <v>1810</v>
      </c>
      <c r="F335" s="299">
        <v>0</v>
      </c>
      <c r="G335" s="299">
        <v>0</v>
      </c>
      <c r="H335" s="299">
        <v>0</v>
      </c>
      <c r="I335" s="299">
        <v>0</v>
      </c>
      <c r="J335" s="299">
        <v>0</v>
      </c>
      <c r="K335" s="299">
        <v>0</v>
      </c>
      <c r="L335" s="299">
        <v>0</v>
      </c>
      <c r="M335" s="301"/>
      <c r="N335" s="302"/>
      <c r="O335" s="665"/>
    </row>
    <row r="336" spans="1:15" hidden="1" x14ac:dyDescent="0.25">
      <c r="A336" s="334">
        <v>5357</v>
      </c>
      <c r="B336" s="335" t="s">
        <v>1974</v>
      </c>
      <c r="C336" s="311" t="s">
        <v>1810</v>
      </c>
      <c r="D336" s="311" t="s">
        <v>1810</v>
      </c>
      <c r="E336" s="311" t="s">
        <v>1810</v>
      </c>
      <c r="F336" s="299">
        <v>0</v>
      </c>
      <c r="G336" s="299">
        <v>0</v>
      </c>
      <c r="H336" s="299">
        <v>0</v>
      </c>
      <c r="I336" s="299">
        <v>0</v>
      </c>
      <c r="J336" s="299">
        <v>0</v>
      </c>
      <c r="K336" s="299">
        <v>0</v>
      </c>
      <c r="L336" s="299">
        <v>0</v>
      </c>
      <c r="M336" s="301"/>
      <c r="N336" s="302"/>
      <c r="O336" s="665"/>
    </row>
    <row r="337" spans="1:15" hidden="1" x14ac:dyDescent="0.25">
      <c r="A337" s="334">
        <v>5358</v>
      </c>
      <c r="B337" s="335" t="s">
        <v>1975</v>
      </c>
      <c r="C337" s="311" t="s">
        <v>1810</v>
      </c>
      <c r="D337" s="311" t="s">
        <v>1810</v>
      </c>
      <c r="E337" s="311" t="s">
        <v>1810</v>
      </c>
      <c r="F337" s="299">
        <v>0</v>
      </c>
      <c r="G337" s="299">
        <v>0</v>
      </c>
      <c r="H337" s="299">
        <v>0</v>
      </c>
      <c r="I337" s="299">
        <v>0</v>
      </c>
      <c r="J337" s="299">
        <v>0</v>
      </c>
      <c r="K337" s="299">
        <v>0</v>
      </c>
      <c r="L337" s="299">
        <v>0</v>
      </c>
      <c r="M337" s="301"/>
      <c r="N337" s="302"/>
      <c r="O337" s="665"/>
    </row>
    <row r="338" spans="1:15" hidden="1" x14ac:dyDescent="0.25">
      <c r="A338" s="334">
        <v>5365</v>
      </c>
      <c r="B338" s="335" t="s">
        <v>1976</v>
      </c>
      <c r="C338" s="311" t="s">
        <v>1810</v>
      </c>
      <c r="D338" s="311" t="s">
        <v>1810</v>
      </c>
      <c r="E338" s="311" t="s">
        <v>1810</v>
      </c>
      <c r="F338" s="299">
        <v>0</v>
      </c>
      <c r="G338" s="299">
        <v>0</v>
      </c>
      <c r="H338" s="299">
        <v>0</v>
      </c>
      <c r="I338" s="299">
        <v>0</v>
      </c>
      <c r="J338" s="299">
        <v>0</v>
      </c>
      <c r="K338" s="299">
        <v>0</v>
      </c>
      <c r="L338" s="299">
        <v>0</v>
      </c>
      <c r="M338" s="301"/>
      <c r="N338" s="302"/>
      <c r="O338" s="665"/>
    </row>
    <row r="339" spans="1:15" hidden="1" x14ac:dyDescent="0.25">
      <c r="A339" s="334">
        <v>5374</v>
      </c>
      <c r="B339" s="335" t="s">
        <v>1977</v>
      </c>
      <c r="C339" s="311" t="s">
        <v>1810</v>
      </c>
      <c r="D339" s="311" t="s">
        <v>1810</v>
      </c>
      <c r="E339" s="311" t="s">
        <v>1810</v>
      </c>
      <c r="F339" s="299">
        <v>0</v>
      </c>
      <c r="G339" s="299">
        <v>0</v>
      </c>
      <c r="H339" s="299">
        <v>0</v>
      </c>
      <c r="I339" s="299">
        <v>0</v>
      </c>
      <c r="J339" s="299">
        <v>0</v>
      </c>
      <c r="K339" s="299">
        <v>0</v>
      </c>
      <c r="L339" s="299">
        <v>0</v>
      </c>
      <c r="M339" s="301"/>
      <c r="N339" s="302"/>
      <c r="O339" s="665"/>
    </row>
    <row r="340" spans="1:15" hidden="1" x14ac:dyDescent="0.25">
      <c r="A340" s="334">
        <v>5508</v>
      </c>
      <c r="B340" s="335" t="s">
        <v>1978</v>
      </c>
      <c r="C340" s="311" t="s">
        <v>1810</v>
      </c>
      <c r="D340" s="311" t="s">
        <v>1810</v>
      </c>
      <c r="E340" s="311" t="s">
        <v>1810</v>
      </c>
      <c r="F340" s="299">
        <v>0</v>
      </c>
      <c r="G340" s="299">
        <v>0</v>
      </c>
      <c r="H340" s="299">
        <v>0</v>
      </c>
      <c r="I340" s="299">
        <v>0</v>
      </c>
      <c r="J340" s="299">
        <v>0</v>
      </c>
      <c r="K340" s="299">
        <v>0</v>
      </c>
      <c r="L340" s="299">
        <v>0</v>
      </c>
      <c r="M340" s="301"/>
      <c r="N340" s="302"/>
      <c r="O340" s="665"/>
    </row>
    <row r="341" spans="1:15" hidden="1" x14ac:dyDescent="0.25">
      <c r="A341" s="334">
        <v>5510</v>
      </c>
      <c r="B341" s="335" t="s">
        <v>1979</v>
      </c>
      <c r="C341" s="311" t="s">
        <v>1810</v>
      </c>
      <c r="D341" s="311" t="s">
        <v>1810</v>
      </c>
      <c r="E341" s="311" t="s">
        <v>1810</v>
      </c>
      <c r="F341" s="299">
        <v>0</v>
      </c>
      <c r="G341" s="299">
        <v>0</v>
      </c>
      <c r="H341" s="299">
        <v>0</v>
      </c>
      <c r="I341" s="299">
        <v>0</v>
      </c>
      <c r="J341" s="299">
        <v>0</v>
      </c>
      <c r="K341" s="299">
        <v>0</v>
      </c>
      <c r="L341" s="299">
        <v>0</v>
      </c>
      <c r="M341" s="301"/>
      <c r="N341" s="302"/>
      <c r="O341" s="665"/>
    </row>
    <row r="342" spans="1:15" hidden="1" x14ac:dyDescent="0.25">
      <c r="A342" s="334">
        <v>5511</v>
      </c>
      <c r="B342" s="335" t="s">
        <v>1980</v>
      </c>
      <c r="C342" s="311" t="s">
        <v>1810</v>
      </c>
      <c r="D342" s="311" t="s">
        <v>1810</v>
      </c>
      <c r="E342" s="311" t="s">
        <v>1810</v>
      </c>
      <c r="F342" s="299">
        <v>0</v>
      </c>
      <c r="G342" s="299">
        <v>0</v>
      </c>
      <c r="H342" s="299">
        <v>0</v>
      </c>
      <c r="I342" s="299">
        <v>0</v>
      </c>
      <c r="J342" s="299">
        <v>0</v>
      </c>
      <c r="K342" s="299">
        <v>0</v>
      </c>
      <c r="L342" s="299">
        <v>0</v>
      </c>
      <c r="M342" s="301"/>
      <c r="N342" s="302"/>
      <c r="O342" s="665"/>
    </row>
    <row r="343" spans="1:15" hidden="1" x14ac:dyDescent="0.25">
      <c r="A343" s="334">
        <v>5514</v>
      </c>
      <c r="B343" s="335" t="s">
        <v>1981</v>
      </c>
      <c r="C343" s="311" t="s">
        <v>1810</v>
      </c>
      <c r="D343" s="311" t="s">
        <v>1810</v>
      </c>
      <c r="E343" s="311" t="s">
        <v>1810</v>
      </c>
      <c r="F343" s="299">
        <v>0</v>
      </c>
      <c r="G343" s="299">
        <v>0</v>
      </c>
      <c r="H343" s="299">
        <v>0</v>
      </c>
      <c r="I343" s="299">
        <v>0</v>
      </c>
      <c r="J343" s="299">
        <v>0</v>
      </c>
      <c r="K343" s="299">
        <v>0</v>
      </c>
      <c r="L343" s="299">
        <v>0</v>
      </c>
      <c r="M343" s="301"/>
      <c r="N343" s="302"/>
      <c r="O343" s="665"/>
    </row>
    <row r="344" spans="1:15" hidden="1" x14ac:dyDescent="0.25">
      <c r="A344" s="334">
        <v>5518</v>
      </c>
      <c r="B344" s="335" t="s">
        <v>1982</v>
      </c>
      <c r="C344" s="311" t="s">
        <v>1810</v>
      </c>
      <c r="D344" s="311" t="s">
        <v>1810</v>
      </c>
      <c r="E344" s="311" t="s">
        <v>1810</v>
      </c>
      <c r="F344" s="299">
        <v>0</v>
      </c>
      <c r="G344" s="299">
        <v>0</v>
      </c>
      <c r="H344" s="299">
        <v>0</v>
      </c>
      <c r="I344" s="299">
        <v>0</v>
      </c>
      <c r="J344" s="299">
        <v>0</v>
      </c>
      <c r="K344" s="299">
        <v>0</v>
      </c>
      <c r="L344" s="299">
        <v>0</v>
      </c>
      <c r="M344" s="301"/>
      <c r="N344" s="302"/>
      <c r="O344" s="665"/>
    </row>
    <row r="345" spans="1:15" hidden="1" x14ac:dyDescent="0.25">
      <c r="A345" s="334">
        <v>5522</v>
      </c>
      <c r="B345" s="335" t="s">
        <v>1983</v>
      </c>
      <c r="C345" s="311" t="s">
        <v>1810</v>
      </c>
      <c r="D345" s="311" t="s">
        <v>1810</v>
      </c>
      <c r="E345" s="311" t="s">
        <v>1810</v>
      </c>
      <c r="F345" s="299">
        <v>0</v>
      </c>
      <c r="G345" s="299">
        <v>0</v>
      </c>
      <c r="H345" s="299">
        <v>0</v>
      </c>
      <c r="I345" s="299">
        <v>0</v>
      </c>
      <c r="J345" s="299">
        <v>0</v>
      </c>
      <c r="K345" s="299">
        <v>0</v>
      </c>
      <c r="L345" s="299">
        <v>0</v>
      </c>
      <c r="M345" s="301"/>
      <c r="N345" s="302"/>
      <c r="O345" s="665"/>
    </row>
    <row r="346" spans="1:15" hidden="1" x14ac:dyDescent="0.25">
      <c r="A346" s="334">
        <v>5530</v>
      </c>
      <c r="B346" s="335" t="s">
        <v>1984</v>
      </c>
      <c r="C346" s="311" t="s">
        <v>1810</v>
      </c>
      <c r="D346" s="311" t="s">
        <v>1810</v>
      </c>
      <c r="E346" s="311" t="s">
        <v>1810</v>
      </c>
      <c r="F346" s="299">
        <v>0</v>
      </c>
      <c r="G346" s="299">
        <v>0</v>
      </c>
      <c r="H346" s="299">
        <v>0</v>
      </c>
      <c r="I346" s="299">
        <v>0</v>
      </c>
      <c r="J346" s="299">
        <v>0</v>
      </c>
      <c r="K346" s="299">
        <v>0</v>
      </c>
      <c r="L346" s="299">
        <v>0</v>
      </c>
      <c r="M346" s="301"/>
      <c r="N346" s="302"/>
      <c r="O346" s="665"/>
    </row>
    <row r="347" spans="1:15" hidden="1" x14ac:dyDescent="0.25">
      <c r="A347" s="334">
        <v>5541</v>
      </c>
      <c r="B347" s="335" t="s">
        <v>1985</v>
      </c>
      <c r="C347" s="311" t="s">
        <v>1810</v>
      </c>
      <c r="D347" s="311" t="s">
        <v>1810</v>
      </c>
      <c r="E347" s="311" t="s">
        <v>1810</v>
      </c>
      <c r="F347" s="299">
        <v>0</v>
      </c>
      <c r="G347" s="299">
        <v>0</v>
      </c>
      <c r="H347" s="299">
        <v>0</v>
      </c>
      <c r="I347" s="299">
        <v>0</v>
      </c>
      <c r="J347" s="299">
        <v>0</v>
      </c>
      <c r="K347" s="299">
        <v>0</v>
      </c>
      <c r="L347" s="299">
        <v>0</v>
      </c>
      <c r="M347" s="301"/>
      <c r="N347" s="302"/>
      <c r="O347" s="665"/>
    </row>
    <row r="348" spans="1:15" hidden="1" x14ac:dyDescent="0.25">
      <c r="A348" s="334">
        <v>5545</v>
      </c>
      <c r="B348" s="335" t="s">
        <v>1986</v>
      </c>
      <c r="C348" s="311" t="s">
        <v>1810</v>
      </c>
      <c r="D348" s="311" t="s">
        <v>1810</v>
      </c>
      <c r="E348" s="311" t="s">
        <v>1810</v>
      </c>
      <c r="F348" s="299">
        <v>0</v>
      </c>
      <c r="G348" s="299">
        <v>0</v>
      </c>
      <c r="H348" s="299">
        <v>0</v>
      </c>
      <c r="I348" s="299">
        <v>0</v>
      </c>
      <c r="J348" s="299">
        <v>0</v>
      </c>
      <c r="K348" s="299">
        <v>0</v>
      </c>
      <c r="L348" s="299">
        <v>0</v>
      </c>
      <c r="M348" s="301"/>
      <c r="N348" s="302"/>
      <c r="O348" s="665"/>
    </row>
    <row r="349" spans="1:15" hidden="1" x14ac:dyDescent="0.25">
      <c r="A349" s="334">
        <v>5546</v>
      </c>
      <c r="B349" s="335" t="s">
        <v>1987</v>
      </c>
      <c r="C349" s="311" t="s">
        <v>1810</v>
      </c>
      <c r="D349" s="311" t="s">
        <v>1810</v>
      </c>
      <c r="E349" s="311" t="s">
        <v>1810</v>
      </c>
      <c r="F349" s="299">
        <v>0</v>
      </c>
      <c r="G349" s="299">
        <v>0</v>
      </c>
      <c r="H349" s="299">
        <v>0</v>
      </c>
      <c r="I349" s="299">
        <v>0</v>
      </c>
      <c r="J349" s="299">
        <v>0</v>
      </c>
      <c r="K349" s="299">
        <v>0</v>
      </c>
      <c r="L349" s="299">
        <v>0</v>
      </c>
      <c r="M349" s="301"/>
      <c r="N349" s="302"/>
      <c r="O349" s="665"/>
    </row>
    <row r="350" spans="1:15" hidden="1" x14ac:dyDescent="0.25">
      <c r="A350" s="334">
        <v>5548</v>
      </c>
      <c r="B350" s="335" t="s">
        <v>1988</v>
      </c>
      <c r="C350" s="311" t="s">
        <v>1810</v>
      </c>
      <c r="D350" s="311" t="s">
        <v>1810</v>
      </c>
      <c r="E350" s="311" t="s">
        <v>1810</v>
      </c>
      <c r="F350" s="299">
        <v>0</v>
      </c>
      <c r="G350" s="299">
        <v>0</v>
      </c>
      <c r="H350" s="299">
        <v>0</v>
      </c>
      <c r="I350" s="299">
        <v>0</v>
      </c>
      <c r="J350" s="299">
        <v>0</v>
      </c>
      <c r="K350" s="299">
        <v>0</v>
      </c>
      <c r="L350" s="299">
        <v>0</v>
      </c>
      <c r="M350" s="301"/>
      <c r="N350" s="302"/>
      <c r="O350" s="665"/>
    </row>
    <row r="351" spans="1:15" hidden="1" x14ac:dyDescent="0.25">
      <c r="A351" s="334">
        <v>5553</v>
      </c>
      <c r="B351" s="335" t="s">
        <v>1989</v>
      </c>
      <c r="C351" s="311" t="s">
        <v>1810</v>
      </c>
      <c r="D351" s="311" t="s">
        <v>1810</v>
      </c>
      <c r="E351" s="311" t="s">
        <v>1810</v>
      </c>
      <c r="F351" s="299">
        <v>0</v>
      </c>
      <c r="G351" s="299">
        <v>0</v>
      </c>
      <c r="H351" s="299">
        <v>0</v>
      </c>
      <c r="I351" s="299">
        <v>0</v>
      </c>
      <c r="J351" s="299">
        <v>0</v>
      </c>
      <c r="K351" s="299">
        <v>0</v>
      </c>
      <c r="L351" s="299">
        <v>0</v>
      </c>
      <c r="M351" s="301"/>
      <c r="N351" s="302"/>
      <c r="O351" s="665"/>
    </row>
    <row r="352" spans="1:15" hidden="1" x14ac:dyDescent="0.25">
      <c r="A352" s="334">
        <v>5556</v>
      </c>
      <c r="B352" s="335" t="s">
        <v>1990</v>
      </c>
      <c r="C352" s="311" t="s">
        <v>1810</v>
      </c>
      <c r="D352" s="311" t="s">
        <v>1810</v>
      </c>
      <c r="E352" s="311" t="s">
        <v>1810</v>
      </c>
      <c r="F352" s="299">
        <v>0</v>
      </c>
      <c r="G352" s="299">
        <v>0</v>
      </c>
      <c r="H352" s="299">
        <v>0</v>
      </c>
      <c r="I352" s="299">
        <v>0</v>
      </c>
      <c r="J352" s="299">
        <v>0</v>
      </c>
      <c r="K352" s="299">
        <v>0</v>
      </c>
      <c r="L352" s="299">
        <v>0</v>
      </c>
      <c r="M352" s="301"/>
      <c r="N352" s="302"/>
      <c r="O352" s="665"/>
    </row>
    <row r="353" spans="1:15" hidden="1" x14ac:dyDescent="0.25">
      <c r="A353" s="334">
        <v>5557</v>
      </c>
      <c r="B353" s="335" t="s">
        <v>1991</v>
      </c>
      <c r="C353" s="311" t="s">
        <v>1810</v>
      </c>
      <c r="D353" s="311" t="s">
        <v>1810</v>
      </c>
      <c r="E353" s="311" t="s">
        <v>1810</v>
      </c>
      <c r="F353" s="299">
        <v>0</v>
      </c>
      <c r="G353" s="299">
        <v>0</v>
      </c>
      <c r="H353" s="299">
        <v>0</v>
      </c>
      <c r="I353" s="299">
        <v>0</v>
      </c>
      <c r="J353" s="299">
        <v>0</v>
      </c>
      <c r="K353" s="299">
        <v>0</v>
      </c>
      <c r="L353" s="299">
        <v>0</v>
      </c>
      <c r="M353" s="301"/>
      <c r="N353" s="302"/>
      <c r="O353" s="665"/>
    </row>
    <row r="354" spans="1:15" hidden="1" x14ac:dyDescent="0.25">
      <c r="A354" s="334">
        <v>5564</v>
      </c>
      <c r="B354" s="335" t="s">
        <v>1992</v>
      </c>
      <c r="C354" s="311" t="s">
        <v>1810</v>
      </c>
      <c r="D354" s="311" t="s">
        <v>1810</v>
      </c>
      <c r="E354" s="311" t="s">
        <v>1810</v>
      </c>
      <c r="F354" s="299">
        <v>0</v>
      </c>
      <c r="G354" s="299">
        <v>0</v>
      </c>
      <c r="H354" s="299">
        <v>0</v>
      </c>
      <c r="I354" s="299">
        <v>0</v>
      </c>
      <c r="J354" s="299">
        <v>0</v>
      </c>
      <c r="K354" s="299">
        <v>0</v>
      </c>
      <c r="L354" s="299">
        <v>0</v>
      </c>
      <c r="M354" s="301"/>
      <c r="N354" s="302"/>
      <c r="O354" s="665"/>
    </row>
    <row r="355" spans="1:15" hidden="1" x14ac:dyDescent="0.25">
      <c r="A355" s="334">
        <v>5566</v>
      </c>
      <c r="B355" s="335" t="s">
        <v>1993</v>
      </c>
      <c r="C355" s="311" t="s">
        <v>1810</v>
      </c>
      <c r="D355" s="311" t="s">
        <v>1810</v>
      </c>
      <c r="E355" s="311" t="s">
        <v>1810</v>
      </c>
      <c r="F355" s="299">
        <v>0</v>
      </c>
      <c r="G355" s="299">
        <v>0</v>
      </c>
      <c r="H355" s="299">
        <v>0</v>
      </c>
      <c r="I355" s="299">
        <v>0</v>
      </c>
      <c r="J355" s="299">
        <v>0</v>
      </c>
      <c r="K355" s="299">
        <v>0</v>
      </c>
      <c r="L355" s="299">
        <v>0</v>
      </c>
      <c r="M355" s="301"/>
      <c r="N355" s="302"/>
      <c r="O355" s="665"/>
    </row>
    <row r="356" spans="1:15" hidden="1" x14ac:dyDescent="0.25">
      <c r="A356" s="334">
        <v>5599</v>
      </c>
      <c r="B356" s="335" t="s">
        <v>1994</v>
      </c>
      <c r="C356" s="311" t="s">
        <v>1810</v>
      </c>
      <c r="D356" s="311" t="s">
        <v>1810</v>
      </c>
      <c r="E356" s="311" t="s">
        <v>1810</v>
      </c>
      <c r="F356" s="299">
        <v>0</v>
      </c>
      <c r="G356" s="299">
        <v>0</v>
      </c>
      <c r="H356" s="299">
        <v>0</v>
      </c>
      <c r="I356" s="299">
        <v>0</v>
      </c>
      <c r="J356" s="299">
        <v>0</v>
      </c>
      <c r="K356" s="299">
        <v>0</v>
      </c>
      <c r="L356" s="299">
        <v>0</v>
      </c>
      <c r="M356" s="301"/>
      <c r="N356" s="302"/>
      <c r="O356" s="665"/>
    </row>
    <row r="357" spans="1:15" hidden="1" x14ac:dyDescent="0.25">
      <c r="A357" s="334">
        <v>5601</v>
      </c>
      <c r="B357" s="335" t="s">
        <v>1995</v>
      </c>
      <c r="C357" s="311" t="s">
        <v>1810</v>
      </c>
      <c r="D357" s="311" t="s">
        <v>1810</v>
      </c>
      <c r="E357" s="311" t="s">
        <v>1810</v>
      </c>
      <c r="F357" s="299">
        <v>0</v>
      </c>
      <c r="G357" s="299">
        <v>0</v>
      </c>
      <c r="H357" s="299">
        <v>0</v>
      </c>
      <c r="I357" s="299">
        <v>0</v>
      </c>
      <c r="J357" s="299">
        <v>0</v>
      </c>
      <c r="K357" s="299">
        <v>0</v>
      </c>
      <c r="L357" s="299">
        <v>0</v>
      </c>
      <c r="M357" s="301"/>
      <c r="N357" s="302"/>
      <c r="O357" s="665"/>
    </row>
    <row r="358" spans="1:15" hidden="1" x14ac:dyDescent="0.25">
      <c r="A358" s="334">
        <v>5606</v>
      </c>
      <c r="B358" s="335" t="s">
        <v>1996</v>
      </c>
      <c r="C358" s="311" t="s">
        <v>1810</v>
      </c>
      <c r="D358" s="311" t="s">
        <v>1810</v>
      </c>
      <c r="E358" s="311" t="s">
        <v>1810</v>
      </c>
      <c r="F358" s="299">
        <v>0</v>
      </c>
      <c r="G358" s="299">
        <v>0</v>
      </c>
      <c r="H358" s="299">
        <v>0</v>
      </c>
      <c r="I358" s="299">
        <v>0</v>
      </c>
      <c r="J358" s="299">
        <v>0</v>
      </c>
      <c r="K358" s="299">
        <v>0</v>
      </c>
      <c r="L358" s="299">
        <v>0</v>
      </c>
      <c r="M358" s="301"/>
      <c r="N358" s="302"/>
      <c r="O358" s="665"/>
    </row>
    <row r="359" spans="1:15" hidden="1" x14ac:dyDescent="0.25">
      <c r="A359" s="334">
        <v>5612</v>
      </c>
      <c r="B359" s="335" t="s">
        <v>1997</v>
      </c>
      <c r="C359" s="311" t="s">
        <v>1810</v>
      </c>
      <c r="D359" s="311" t="s">
        <v>1810</v>
      </c>
      <c r="E359" s="311" t="s">
        <v>1810</v>
      </c>
      <c r="F359" s="299">
        <v>0</v>
      </c>
      <c r="G359" s="299">
        <v>0</v>
      </c>
      <c r="H359" s="299">
        <v>0</v>
      </c>
      <c r="I359" s="299">
        <v>0</v>
      </c>
      <c r="J359" s="299">
        <v>0</v>
      </c>
      <c r="K359" s="299">
        <v>0</v>
      </c>
      <c r="L359" s="299">
        <v>0</v>
      </c>
      <c r="M359" s="301"/>
      <c r="N359" s="302"/>
      <c r="O359" s="665"/>
    </row>
    <row r="360" spans="1:15" hidden="1" x14ac:dyDescent="0.25">
      <c r="A360" s="334">
        <v>5617</v>
      </c>
      <c r="B360" s="335" t="s">
        <v>1998</v>
      </c>
      <c r="C360" s="311" t="s">
        <v>1810</v>
      </c>
      <c r="D360" s="311" t="s">
        <v>1810</v>
      </c>
      <c r="E360" s="311" t="s">
        <v>1810</v>
      </c>
      <c r="F360" s="299">
        <v>0</v>
      </c>
      <c r="G360" s="299">
        <v>0</v>
      </c>
      <c r="H360" s="299">
        <v>0</v>
      </c>
      <c r="I360" s="299">
        <v>0</v>
      </c>
      <c r="J360" s="299">
        <v>0</v>
      </c>
      <c r="K360" s="299">
        <v>0</v>
      </c>
      <c r="L360" s="299">
        <v>0</v>
      </c>
      <c r="M360" s="301"/>
      <c r="N360" s="302"/>
      <c r="O360" s="665"/>
    </row>
    <row r="361" spans="1:15" hidden="1" x14ac:dyDescent="0.25">
      <c r="A361" s="334">
        <v>5631</v>
      </c>
      <c r="B361" s="335" t="s">
        <v>1999</v>
      </c>
      <c r="C361" s="311" t="s">
        <v>1810</v>
      </c>
      <c r="D361" s="311" t="s">
        <v>1810</v>
      </c>
      <c r="E361" s="311" t="s">
        <v>1810</v>
      </c>
      <c r="F361" s="299">
        <v>0</v>
      </c>
      <c r="G361" s="299">
        <v>0</v>
      </c>
      <c r="H361" s="299">
        <v>0</v>
      </c>
      <c r="I361" s="299">
        <v>0</v>
      </c>
      <c r="J361" s="299">
        <v>0</v>
      </c>
      <c r="K361" s="299">
        <v>0</v>
      </c>
      <c r="L361" s="299">
        <v>0</v>
      </c>
      <c r="M361" s="301"/>
      <c r="N361" s="302"/>
      <c r="O361" s="665"/>
    </row>
    <row r="362" spans="1:15" hidden="1" x14ac:dyDescent="0.25">
      <c r="A362" s="334">
        <v>5637</v>
      </c>
      <c r="B362" s="335" t="s">
        <v>2000</v>
      </c>
      <c r="C362" s="311" t="s">
        <v>1810</v>
      </c>
      <c r="D362" s="311" t="s">
        <v>1810</v>
      </c>
      <c r="E362" s="311" t="s">
        <v>1810</v>
      </c>
      <c r="F362" s="299">
        <v>0</v>
      </c>
      <c r="G362" s="299">
        <v>0</v>
      </c>
      <c r="H362" s="299">
        <v>0</v>
      </c>
      <c r="I362" s="299">
        <v>0</v>
      </c>
      <c r="J362" s="299">
        <v>0</v>
      </c>
      <c r="K362" s="299">
        <v>0</v>
      </c>
      <c r="L362" s="299">
        <v>0</v>
      </c>
      <c r="M362" s="301"/>
      <c r="N362" s="302"/>
      <c r="O362" s="665"/>
    </row>
    <row r="363" spans="1:15" hidden="1" x14ac:dyDescent="0.25">
      <c r="A363" s="334">
        <v>5646</v>
      </c>
      <c r="B363" s="335" t="s">
        <v>2001</v>
      </c>
      <c r="C363" s="311" t="s">
        <v>1810</v>
      </c>
      <c r="D363" s="311" t="s">
        <v>1810</v>
      </c>
      <c r="E363" s="311" t="s">
        <v>1810</v>
      </c>
      <c r="F363" s="299">
        <v>0</v>
      </c>
      <c r="G363" s="299">
        <v>0</v>
      </c>
      <c r="H363" s="299">
        <v>0</v>
      </c>
      <c r="I363" s="299">
        <v>0</v>
      </c>
      <c r="J363" s="299">
        <v>0</v>
      </c>
      <c r="K363" s="299">
        <v>0</v>
      </c>
      <c r="L363" s="299">
        <v>0</v>
      </c>
      <c r="M363" s="301"/>
      <c r="N363" s="302"/>
      <c r="O363" s="665"/>
    </row>
    <row r="364" spans="1:15" hidden="1" x14ac:dyDescent="0.25">
      <c r="A364" s="334">
        <v>5652</v>
      </c>
      <c r="B364" s="335" t="s">
        <v>2002</v>
      </c>
      <c r="C364" s="311" t="s">
        <v>1810</v>
      </c>
      <c r="D364" s="311" t="s">
        <v>1810</v>
      </c>
      <c r="E364" s="311" t="s">
        <v>1810</v>
      </c>
      <c r="F364" s="299">
        <v>0</v>
      </c>
      <c r="G364" s="299">
        <v>0</v>
      </c>
      <c r="H364" s="299">
        <v>0</v>
      </c>
      <c r="I364" s="299">
        <v>0</v>
      </c>
      <c r="J364" s="299">
        <v>0</v>
      </c>
      <c r="K364" s="299">
        <v>0</v>
      </c>
      <c r="L364" s="299">
        <v>0</v>
      </c>
      <c r="M364" s="301"/>
      <c r="N364" s="302"/>
      <c r="O364" s="665"/>
    </row>
    <row r="365" spans="1:15" hidden="1" x14ac:dyDescent="0.25">
      <c r="A365" s="334">
        <v>5664</v>
      </c>
      <c r="B365" s="335" t="s">
        <v>2003</v>
      </c>
      <c r="C365" s="311" t="s">
        <v>1810</v>
      </c>
      <c r="D365" s="311" t="s">
        <v>1810</v>
      </c>
      <c r="E365" s="311" t="s">
        <v>1810</v>
      </c>
      <c r="F365" s="299">
        <v>0</v>
      </c>
      <c r="G365" s="299">
        <v>0</v>
      </c>
      <c r="H365" s="299">
        <v>0</v>
      </c>
      <c r="I365" s="299">
        <v>0</v>
      </c>
      <c r="J365" s="299">
        <v>0</v>
      </c>
      <c r="K365" s="299">
        <v>0</v>
      </c>
      <c r="L365" s="299">
        <v>0</v>
      </c>
      <c r="M365" s="301"/>
      <c r="N365" s="302"/>
      <c r="O365" s="665"/>
    </row>
    <row r="366" spans="1:15" hidden="1" x14ac:dyDescent="0.25">
      <c r="A366" s="334">
        <v>5727</v>
      </c>
      <c r="B366" s="335" t="s">
        <v>2004</v>
      </c>
      <c r="C366" s="311" t="s">
        <v>1810</v>
      </c>
      <c r="D366" s="311" t="s">
        <v>1810</v>
      </c>
      <c r="E366" s="311" t="s">
        <v>1810</v>
      </c>
      <c r="F366" s="299">
        <v>0</v>
      </c>
      <c r="G366" s="299">
        <v>0</v>
      </c>
      <c r="H366" s="299">
        <v>0</v>
      </c>
      <c r="I366" s="299">
        <v>0</v>
      </c>
      <c r="J366" s="299">
        <v>0</v>
      </c>
      <c r="K366" s="299">
        <v>0</v>
      </c>
      <c r="L366" s="299">
        <v>0</v>
      </c>
      <c r="M366" s="301"/>
      <c r="N366" s="302"/>
      <c r="O366" s="665"/>
    </row>
    <row r="367" spans="1:15" hidden="1" x14ac:dyDescent="0.25">
      <c r="A367" s="334">
        <v>5740</v>
      </c>
      <c r="B367" s="335" t="s">
        <v>2005</v>
      </c>
      <c r="C367" s="311" t="s">
        <v>1810</v>
      </c>
      <c r="D367" s="311" t="s">
        <v>1810</v>
      </c>
      <c r="E367" s="311" t="s">
        <v>1810</v>
      </c>
      <c r="F367" s="299">
        <v>0</v>
      </c>
      <c r="G367" s="299">
        <v>0</v>
      </c>
      <c r="H367" s="299">
        <v>0</v>
      </c>
      <c r="I367" s="299">
        <v>0</v>
      </c>
      <c r="J367" s="299">
        <v>0</v>
      </c>
      <c r="K367" s="299">
        <v>0</v>
      </c>
      <c r="L367" s="299">
        <v>0</v>
      </c>
      <c r="M367" s="301"/>
      <c r="N367" s="302"/>
      <c r="O367" s="665"/>
    </row>
    <row r="368" spans="1:15" hidden="1" x14ac:dyDescent="0.25">
      <c r="A368" s="334">
        <v>5758</v>
      </c>
      <c r="B368" s="335" t="s">
        <v>2006</v>
      </c>
      <c r="C368" s="311" t="s">
        <v>1810</v>
      </c>
      <c r="D368" s="311" t="s">
        <v>1810</v>
      </c>
      <c r="E368" s="311" t="s">
        <v>1810</v>
      </c>
      <c r="F368" s="299">
        <v>0</v>
      </c>
      <c r="G368" s="299">
        <v>0</v>
      </c>
      <c r="H368" s="299">
        <v>0</v>
      </c>
      <c r="I368" s="299">
        <v>0</v>
      </c>
      <c r="J368" s="299">
        <v>0</v>
      </c>
      <c r="K368" s="299">
        <v>0</v>
      </c>
      <c r="L368" s="299">
        <v>0</v>
      </c>
      <c r="M368" s="301"/>
      <c r="N368" s="302"/>
      <c r="O368" s="665"/>
    </row>
    <row r="369" spans="1:15" hidden="1" x14ac:dyDescent="0.25">
      <c r="A369" s="334">
        <v>5783</v>
      </c>
      <c r="B369" s="335" t="s">
        <v>2007</v>
      </c>
      <c r="C369" s="311" t="s">
        <v>1810</v>
      </c>
      <c r="D369" s="311" t="s">
        <v>1810</v>
      </c>
      <c r="E369" s="311" t="s">
        <v>1810</v>
      </c>
      <c r="F369" s="299">
        <v>0</v>
      </c>
      <c r="G369" s="299">
        <v>0</v>
      </c>
      <c r="H369" s="299">
        <v>0</v>
      </c>
      <c r="I369" s="299">
        <v>0</v>
      </c>
      <c r="J369" s="299">
        <v>0</v>
      </c>
      <c r="K369" s="299">
        <v>0</v>
      </c>
      <c r="L369" s="299">
        <v>0</v>
      </c>
      <c r="M369" s="301"/>
      <c r="N369" s="302"/>
      <c r="O369" s="665"/>
    </row>
    <row r="370" spans="1:15" hidden="1" x14ac:dyDescent="0.25">
      <c r="A370" s="334">
        <v>5787</v>
      </c>
      <c r="B370" s="335" t="s">
        <v>2008</v>
      </c>
      <c r="C370" s="311" t="s">
        <v>1810</v>
      </c>
      <c r="D370" s="311" t="s">
        <v>1810</v>
      </c>
      <c r="E370" s="311" t="s">
        <v>1810</v>
      </c>
      <c r="F370" s="299">
        <v>0</v>
      </c>
      <c r="G370" s="299">
        <v>0</v>
      </c>
      <c r="H370" s="299">
        <v>0</v>
      </c>
      <c r="I370" s="299">
        <v>0</v>
      </c>
      <c r="J370" s="299">
        <v>0</v>
      </c>
      <c r="K370" s="299">
        <v>0</v>
      </c>
      <c r="L370" s="299">
        <v>0</v>
      </c>
      <c r="M370" s="301"/>
      <c r="N370" s="302"/>
      <c r="O370" s="665"/>
    </row>
    <row r="371" spans="1:15" hidden="1" x14ac:dyDescent="0.25">
      <c r="A371" s="334">
        <v>5788</v>
      </c>
      <c r="B371" s="335" t="s">
        <v>2009</v>
      </c>
      <c r="C371" s="311" t="s">
        <v>1810</v>
      </c>
      <c r="D371" s="311" t="s">
        <v>1810</v>
      </c>
      <c r="E371" s="311" t="s">
        <v>1810</v>
      </c>
      <c r="F371" s="299">
        <v>0</v>
      </c>
      <c r="G371" s="299">
        <v>0</v>
      </c>
      <c r="H371" s="299">
        <v>0</v>
      </c>
      <c r="I371" s="299">
        <v>0</v>
      </c>
      <c r="J371" s="299">
        <v>0</v>
      </c>
      <c r="K371" s="299">
        <v>0</v>
      </c>
      <c r="L371" s="299">
        <v>0</v>
      </c>
      <c r="M371" s="301"/>
      <c r="N371" s="302"/>
      <c r="O371" s="665"/>
    </row>
    <row r="372" spans="1:15" hidden="1" x14ac:dyDescent="0.25">
      <c r="A372" s="334">
        <v>5798</v>
      </c>
      <c r="B372" s="335" t="s">
        <v>2010</v>
      </c>
      <c r="C372" s="311" t="s">
        <v>1810</v>
      </c>
      <c r="D372" s="311" t="s">
        <v>1810</v>
      </c>
      <c r="E372" s="311" t="s">
        <v>1810</v>
      </c>
      <c r="F372" s="299">
        <v>0</v>
      </c>
      <c r="G372" s="299">
        <v>0</v>
      </c>
      <c r="H372" s="299">
        <v>0</v>
      </c>
      <c r="I372" s="299">
        <v>0</v>
      </c>
      <c r="J372" s="299">
        <v>0</v>
      </c>
      <c r="K372" s="299">
        <v>0</v>
      </c>
      <c r="L372" s="299">
        <v>0</v>
      </c>
      <c r="M372" s="301"/>
      <c r="N372" s="302"/>
      <c r="O372" s="665"/>
    </row>
    <row r="373" spans="1:15" hidden="1" x14ac:dyDescent="0.25">
      <c r="A373" s="334">
        <v>5805</v>
      </c>
      <c r="B373" s="335" t="s">
        <v>2011</v>
      </c>
      <c r="C373" s="311" t="s">
        <v>1810</v>
      </c>
      <c r="D373" s="311" t="s">
        <v>1810</v>
      </c>
      <c r="E373" s="311" t="s">
        <v>1810</v>
      </c>
      <c r="F373" s="299">
        <v>0</v>
      </c>
      <c r="G373" s="299">
        <v>0</v>
      </c>
      <c r="H373" s="299">
        <v>0</v>
      </c>
      <c r="I373" s="299">
        <v>0</v>
      </c>
      <c r="J373" s="299">
        <v>0</v>
      </c>
      <c r="K373" s="299">
        <v>0</v>
      </c>
      <c r="L373" s="299">
        <v>0</v>
      </c>
      <c r="M373" s="301"/>
      <c r="N373" s="302"/>
      <c r="O373" s="665"/>
    </row>
    <row r="374" spans="1:15" hidden="1" x14ac:dyDescent="0.25">
      <c r="A374" s="334">
        <v>5814</v>
      </c>
      <c r="B374" s="335" t="s">
        <v>2012</v>
      </c>
      <c r="C374" s="311" t="s">
        <v>1810</v>
      </c>
      <c r="D374" s="311" t="s">
        <v>1810</v>
      </c>
      <c r="E374" s="311" t="s">
        <v>1810</v>
      </c>
      <c r="F374" s="299">
        <v>0</v>
      </c>
      <c r="G374" s="299">
        <v>0</v>
      </c>
      <c r="H374" s="299">
        <v>0</v>
      </c>
      <c r="I374" s="299">
        <v>0</v>
      </c>
      <c r="J374" s="299">
        <v>0</v>
      </c>
      <c r="K374" s="299">
        <v>0</v>
      </c>
      <c r="L374" s="299">
        <v>0</v>
      </c>
      <c r="M374" s="301"/>
      <c r="N374" s="302"/>
      <c r="O374" s="665"/>
    </row>
    <row r="375" spans="1:15" hidden="1" x14ac:dyDescent="0.25">
      <c r="A375" s="334">
        <v>5816</v>
      </c>
      <c r="B375" s="335" t="s">
        <v>2013</v>
      </c>
      <c r="C375" s="311" t="s">
        <v>1810</v>
      </c>
      <c r="D375" s="311" t="s">
        <v>1810</v>
      </c>
      <c r="E375" s="311" t="s">
        <v>1810</v>
      </c>
      <c r="F375" s="299">
        <v>0</v>
      </c>
      <c r="G375" s="299">
        <v>0</v>
      </c>
      <c r="H375" s="299">
        <v>0</v>
      </c>
      <c r="I375" s="299">
        <v>0</v>
      </c>
      <c r="J375" s="299">
        <v>0</v>
      </c>
      <c r="K375" s="299">
        <v>0</v>
      </c>
      <c r="L375" s="299">
        <v>0</v>
      </c>
      <c r="M375" s="301"/>
      <c r="N375" s="302"/>
      <c r="O375" s="665"/>
    </row>
    <row r="376" spans="1:15" hidden="1" x14ac:dyDescent="0.25">
      <c r="A376" s="334">
        <v>5828</v>
      </c>
      <c r="B376" s="335" t="s">
        <v>2014</v>
      </c>
      <c r="C376" s="311" t="s">
        <v>1810</v>
      </c>
      <c r="D376" s="311" t="s">
        <v>1810</v>
      </c>
      <c r="E376" s="311" t="s">
        <v>1810</v>
      </c>
      <c r="F376" s="299">
        <v>0</v>
      </c>
      <c r="G376" s="299">
        <v>0</v>
      </c>
      <c r="H376" s="299">
        <v>0</v>
      </c>
      <c r="I376" s="299">
        <v>0</v>
      </c>
      <c r="J376" s="299">
        <v>0</v>
      </c>
      <c r="K376" s="299">
        <v>0</v>
      </c>
      <c r="L376" s="299">
        <v>0</v>
      </c>
      <c r="M376" s="301"/>
      <c r="N376" s="302"/>
      <c r="O376" s="665"/>
    </row>
    <row r="377" spans="1:15" hidden="1" x14ac:dyDescent="0.25">
      <c r="A377" s="334">
        <v>5832</v>
      </c>
      <c r="B377" s="335" t="s">
        <v>2015</v>
      </c>
      <c r="C377" s="311" t="s">
        <v>1810</v>
      </c>
      <c r="D377" s="311" t="s">
        <v>1810</v>
      </c>
      <c r="E377" s="311" t="s">
        <v>1810</v>
      </c>
      <c r="F377" s="299">
        <v>0</v>
      </c>
      <c r="G377" s="299">
        <v>0</v>
      </c>
      <c r="H377" s="299">
        <v>0</v>
      </c>
      <c r="I377" s="299">
        <v>0</v>
      </c>
      <c r="J377" s="299">
        <v>0</v>
      </c>
      <c r="K377" s="299">
        <v>0</v>
      </c>
      <c r="L377" s="299">
        <v>0</v>
      </c>
      <c r="M377" s="301"/>
      <c r="N377" s="302"/>
      <c r="O377" s="665"/>
    </row>
    <row r="378" spans="1:15" hidden="1" x14ac:dyDescent="0.25">
      <c r="A378" s="334">
        <v>5842</v>
      </c>
      <c r="B378" s="335" t="s">
        <v>2016</v>
      </c>
      <c r="C378" s="311" t="s">
        <v>1810</v>
      </c>
      <c r="D378" s="311" t="s">
        <v>1810</v>
      </c>
      <c r="E378" s="311" t="s">
        <v>1810</v>
      </c>
      <c r="F378" s="299">
        <v>0</v>
      </c>
      <c r="G378" s="299">
        <v>0</v>
      </c>
      <c r="H378" s="299">
        <v>0</v>
      </c>
      <c r="I378" s="299">
        <v>0</v>
      </c>
      <c r="J378" s="299">
        <v>0</v>
      </c>
      <c r="K378" s="299">
        <v>0</v>
      </c>
      <c r="L378" s="299">
        <v>0</v>
      </c>
      <c r="M378" s="301"/>
      <c r="N378" s="302"/>
      <c r="O378" s="665"/>
    </row>
    <row r="379" spans="1:15" hidden="1" x14ac:dyDescent="0.25">
      <c r="A379" s="334">
        <v>5860</v>
      </c>
      <c r="B379" s="335" t="s">
        <v>2017</v>
      </c>
      <c r="C379" s="311" t="s">
        <v>1810</v>
      </c>
      <c r="D379" s="311" t="s">
        <v>1810</v>
      </c>
      <c r="E379" s="311" t="s">
        <v>1810</v>
      </c>
      <c r="F379" s="299">
        <v>0</v>
      </c>
      <c r="G379" s="299">
        <v>0</v>
      </c>
      <c r="H379" s="299">
        <v>0</v>
      </c>
      <c r="I379" s="299">
        <v>0</v>
      </c>
      <c r="J379" s="299">
        <v>0</v>
      </c>
      <c r="K379" s="299">
        <v>0</v>
      </c>
      <c r="L379" s="299">
        <v>0</v>
      </c>
      <c r="M379" s="301"/>
      <c r="N379" s="302"/>
      <c r="O379" s="665"/>
    </row>
    <row r="380" spans="1:15" hidden="1" x14ac:dyDescent="0.25">
      <c r="A380" s="334">
        <v>5862</v>
      </c>
      <c r="B380" s="335" t="s">
        <v>2018</v>
      </c>
      <c r="C380" s="311" t="s">
        <v>1810</v>
      </c>
      <c r="D380" s="311" t="s">
        <v>1810</v>
      </c>
      <c r="E380" s="311" t="s">
        <v>1810</v>
      </c>
      <c r="F380" s="299">
        <v>0</v>
      </c>
      <c r="G380" s="299">
        <v>0</v>
      </c>
      <c r="H380" s="299">
        <v>0</v>
      </c>
      <c r="I380" s="299">
        <v>0</v>
      </c>
      <c r="J380" s="299">
        <v>0</v>
      </c>
      <c r="K380" s="299">
        <v>0</v>
      </c>
      <c r="L380" s="299">
        <v>0</v>
      </c>
      <c r="M380" s="301"/>
      <c r="N380" s="302"/>
      <c r="O380" s="665"/>
    </row>
    <row r="381" spans="1:15" hidden="1" x14ac:dyDescent="0.25">
      <c r="A381" s="334">
        <v>5869</v>
      </c>
      <c r="B381" s="335" t="s">
        <v>2019</v>
      </c>
      <c r="C381" s="311" t="s">
        <v>1810</v>
      </c>
      <c r="D381" s="311" t="s">
        <v>1810</v>
      </c>
      <c r="E381" s="311" t="s">
        <v>1810</v>
      </c>
      <c r="F381" s="299">
        <v>0</v>
      </c>
      <c r="G381" s="299">
        <v>0</v>
      </c>
      <c r="H381" s="299">
        <v>0</v>
      </c>
      <c r="I381" s="299">
        <v>0</v>
      </c>
      <c r="J381" s="299">
        <v>0</v>
      </c>
      <c r="K381" s="299">
        <v>0</v>
      </c>
      <c r="L381" s="299">
        <v>0</v>
      </c>
      <c r="M381" s="301"/>
      <c r="N381" s="302"/>
      <c r="O381" s="665"/>
    </row>
    <row r="382" spans="1:15" hidden="1" x14ac:dyDescent="0.25">
      <c r="A382" s="334">
        <v>5878</v>
      </c>
      <c r="B382" s="335" t="s">
        <v>2020</v>
      </c>
      <c r="C382" s="311" t="s">
        <v>1810</v>
      </c>
      <c r="D382" s="311" t="s">
        <v>1810</v>
      </c>
      <c r="E382" s="311" t="s">
        <v>1810</v>
      </c>
      <c r="F382" s="299">
        <v>0</v>
      </c>
      <c r="G382" s="299">
        <v>0</v>
      </c>
      <c r="H382" s="299">
        <v>0</v>
      </c>
      <c r="I382" s="299">
        <v>0</v>
      </c>
      <c r="J382" s="299">
        <v>0</v>
      </c>
      <c r="K382" s="299">
        <v>0</v>
      </c>
      <c r="L382" s="299">
        <v>0</v>
      </c>
      <c r="M382" s="301"/>
      <c r="N382" s="302"/>
      <c r="O382" s="665"/>
    </row>
    <row r="383" spans="1:15" hidden="1" x14ac:dyDescent="0.25">
      <c r="A383" s="334">
        <v>5892</v>
      </c>
      <c r="B383" s="335" t="s">
        <v>2021</v>
      </c>
      <c r="C383" s="311" t="s">
        <v>1810</v>
      </c>
      <c r="D383" s="311" t="s">
        <v>1810</v>
      </c>
      <c r="E383" s="311" t="s">
        <v>1810</v>
      </c>
      <c r="F383" s="299">
        <v>0</v>
      </c>
      <c r="G383" s="299">
        <v>0</v>
      </c>
      <c r="H383" s="299">
        <v>0</v>
      </c>
      <c r="I383" s="299">
        <v>0</v>
      </c>
      <c r="J383" s="299">
        <v>0</v>
      </c>
      <c r="K383" s="299">
        <v>0</v>
      </c>
      <c r="L383" s="299">
        <v>0</v>
      </c>
      <c r="M383" s="301"/>
      <c r="N383" s="302"/>
      <c r="O383" s="665"/>
    </row>
    <row r="384" spans="1:15" hidden="1" x14ac:dyDescent="0.25">
      <c r="A384" s="334">
        <v>5896</v>
      </c>
      <c r="B384" s="335" t="s">
        <v>2022</v>
      </c>
      <c r="C384" s="311" t="s">
        <v>1810</v>
      </c>
      <c r="D384" s="311" t="s">
        <v>1810</v>
      </c>
      <c r="E384" s="311" t="s">
        <v>1810</v>
      </c>
      <c r="F384" s="299">
        <v>0</v>
      </c>
      <c r="G384" s="299">
        <v>0</v>
      </c>
      <c r="H384" s="299">
        <v>0</v>
      </c>
      <c r="I384" s="299">
        <v>0</v>
      </c>
      <c r="J384" s="299">
        <v>0</v>
      </c>
      <c r="K384" s="299">
        <v>0</v>
      </c>
      <c r="L384" s="299">
        <v>0</v>
      </c>
      <c r="M384" s="301"/>
      <c r="N384" s="302"/>
      <c r="O384" s="665"/>
    </row>
    <row r="385" spans="1:15" hidden="1" x14ac:dyDescent="0.25">
      <c r="A385" s="334">
        <v>5902</v>
      </c>
      <c r="B385" s="335" t="s">
        <v>2023</v>
      </c>
      <c r="C385" s="311" t="s">
        <v>1810</v>
      </c>
      <c r="D385" s="311" t="s">
        <v>1810</v>
      </c>
      <c r="E385" s="311" t="s">
        <v>1810</v>
      </c>
      <c r="F385" s="299">
        <v>0</v>
      </c>
      <c r="G385" s="299">
        <v>0</v>
      </c>
      <c r="H385" s="299">
        <v>0</v>
      </c>
      <c r="I385" s="299">
        <v>0</v>
      </c>
      <c r="J385" s="299">
        <v>0</v>
      </c>
      <c r="K385" s="299">
        <v>0</v>
      </c>
      <c r="L385" s="299">
        <v>0</v>
      </c>
      <c r="M385" s="301"/>
      <c r="N385" s="302"/>
      <c r="O385" s="665"/>
    </row>
    <row r="386" spans="1:15" hidden="1" x14ac:dyDescent="0.25">
      <c r="A386" s="334">
        <v>6061</v>
      </c>
      <c r="B386" s="335" t="s">
        <v>2024</v>
      </c>
      <c r="C386" s="311" t="s">
        <v>1810</v>
      </c>
      <c r="D386" s="311" t="s">
        <v>1810</v>
      </c>
      <c r="E386" s="311" t="s">
        <v>1810</v>
      </c>
      <c r="F386" s="299">
        <v>0</v>
      </c>
      <c r="G386" s="299">
        <v>0</v>
      </c>
      <c r="H386" s="299">
        <v>0</v>
      </c>
      <c r="I386" s="299">
        <v>0</v>
      </c>
      <c r="J386" s="299">
        <v>0</v>
      </c>
      <c r="K386" s="299">
        <v>0</v>
      </c>
      <c r="L386" s="299">
        <v>0</v>
      </c>
      <c r="M386" s="301"/>
      <c r="N386" s="302"/>
      <c r="O386" s="665"/>
    </row>
    <row r="387" spans="1:15" hidden="1" x14ac:dyDescent="0.25">
      <c r="A387" s="334">
        <v>6072</v>
      </c>
      <c r="B387" s="335" t="s">
        <v>2025</v>
      </c>
      <c r="C387" s="311" t="s">
        <v>1810</v>
      </c>
      <c r="D387" s="311" t="s">
        <v>1810</v>
      </c>
      <c r="E387" s="311" t="s">
        <v>1810</v>
      </c>
      <c r="F387" s="299">
        <v>0</v>
      </c>
      <c r="G387" s="299">
        <v>0</v>
      </c>
      <c r="H387" s="299">
        <v>0</v>
      </c>
      <c r="I387" s="299">
        <v>0</v>
      </c>
      <c r="J387" s="299">
        <v>0</v>
      </c>
      <c r="K387" s="299">
        <v>0</v>
      </c>
      <c r="L387" s="299">
        <v>0</v>
      </c>
      <c r="M387" s="301"/>
      <c r="N387" s="302"/>
      <c r="O387" s="665"/>
    </row>
    <row r="388" spans="1:15" hidden="1" x14ac:dyDescent="0.25">
      <c r="A388" s="334">
        <v>7056</v>
      </c>
      <c r="B388" s="335" t="s">
        <v>2026</v>
      </c>
      <c r="C388" s="311" t="s">
        <v>1810</v>
      </c>
      <c r="D388" s="311" t="s">
        <v>1810</v>
      </c>
      <c r="E388" s="311" t="s">
        <v>1810</v>
      </c>
      <c r="F388" s="299">
        <v>0</v>
      </c>
      <c r="G388" s="299">
        <v>0</v>
      </c>
      <c r="H388" s="299">
        <v>0</v>
      </c>
      <c r="I388" s="299">
        <v>0</v>
      </c>
      <c r="J388" s="299">
        <v>0</v>
      </c>
      <c r="K388" s="299">
        <v>0</v>
      </c>
      <c r="L388" s="299">
        <v>0</v>
      </c>
      <c r="M388" s="301"/>
      <c r="N388" s="302"/>
      <c r="O388" s="665"/>
    </row>
    <row r="389" spans="1:15" hidden="1" x14ac:dyDescent="0.25">
      <c r="A389" s="334">
        <v>8000</v>
      </c>
      <c r="B389" s="335" t="s">
        <v>2027</v>
      </c>
      <c r="C389" s="311" t="s">
        <v>1810</v>
      </c>
      <c r="D389" s="311" t="s">
        <v>1810</v>
      </c>
      <c r="E389" s="311" t="s">
        <v>1810</v>
      </c>
      <c r="F389" s="299">
        <v>0</v>
      </c>
      <c r="G389" s="299">
        <v>0</v>
      </c>
      <c r="H389" s="299">
        <v>0</v>
      </c>
      <c r="I389" s="299">
        <v>0</v>
      </c>
      <c r="J389" s="299">
        <v>0</v>
      </c>
      <c r="K389" s="299">
        <v>0</v>
      </c>
      <c r="L389" s="299">
        <v>0</v>
      </c>
      <c r="M389" s="301"/>
      <c r="N389" s="302"/>
      <c r="O389" s="665"/>
    </row>
    <row r="390" spans="1:15" hidden="1" x14ac:dyDescent="0.25">
      <c r="A390" s="334">
        <v>8003</v>
      </c>
      <c r="B390" s="335" t="s">
        <v>2028</v>
      </c>
      <c r="C390" s="311" t="s">
        <v>1810</v>
      </c>
      <c r="D390" s="311" t="s">
        <v>1810</v>
      </c>
      <c r="E390" s="311" t="s">
        <v>1810</v>
      </c>
      <c r="F390" s="299">
        <v>0</v>
      </c>
      <c r="G390" s="299">
        <v>0</v>
      </c>
      <c r="H390" s="299">
        <v>0</v>
      </c>
      <c r="I390" s="299">
        <v>0</v>
      </c>
      <c r="J390" s="299">
        <v>0</v>
      </c>
      <c r="K390" s="299">
        <v>0</v>
      </c>
      <c r="L390" s="299">
        <v>0</v>
      </c>
      <c r="M390" s="301"/>
      <c r="N390" s="302"/>
      <c r="O390" s="665"/>
    </row>
    <row r="391" spans="1:15" hidden="1" x14ac:dyDescent="0.25">
      <c r="A391" s="334">
        <v>8004</v>
      </c>
      <c r="B391" s="335" t="s">
        <v>2029</v>
      </c>
      <c r="C391" s="311" t="s">
        <v>1810</v>
      </c>
      <c r="D391" s="311" t="s">
        <v>1810</v>
      </c>
      <c r="E391" s="311" t="s">
        <v>1810</v>
      </c>
      <c r="F391" s="299">
        <v>0</v>
      </c>
      <c r="G391" s="299">
        <v>0</v>
      </c>
      <c r="H391" s="299">
        <v>0</v>
      </c>
      <c r="I391" s="299">
        <v>0</v>
      </c>
      <c r="J391" s="299">
        <v>0</v>
      </c>
      <c r="K391" s="299">
        <v>0</v>
      </c>
      <c r="L391" s="299">
        <v>0</v>
      </c>
      <c r="M391" s="301"/>
      <c r="N391" s="302"/>
      <c r="O391" s="665"/>
    </row>
    <row r="392" spans="1:15" hidden="1" x14ac:dyDescent="0.25">
      <c r="A392" s="334">
        <v>8005</v>
      </c>
      <c r="B392" s="335" t="s">
        <v>2030</v>
      </c>
      <c r="C392" s="311" t="s">
        <v>1810</v>
      </c>
      <c r="D392" s="311" t="s">
        <v>1810</v>
      </c>
      <c r="E392" s="311" t="s">
        <v>1810</v>
      </c>
      <c r="F392" s="299">
        <v>0</v>
      </c>
      <c r="G392" s="299">
        <v>0</v>
      </c>
      <c r="H392" s="299">
        <v>0</v>
      </c>
      <c r="I392" s="299">
        <v>0</v>
      </c>
      <c r="J392" s="299">
        <v>0</v>
      </c>
      <c r="K392" s="299">
        <v>0</v>
      </c>
      <c r="L392" s="299">
        <v>0</v>
      </c>
      <c r="M392" s="301"/>
      <c r="N392" s="302"/>
      <c r="O392" s="665"/>
    </row>
    <row r="393" spans="1:15" hidden="1" x14ac:dyDescent="0.25">
      <c r="A393" s="334">
        <v>8006</v>
      </c>
      <c r="B393" s="335" t="s">
        <v>2031</v>
      </c>
      <c r="C393" s="311" t="s">
        <v>1810</v>
      </c>
      <c r="D393" s="311" t="s">
        <v>1810</v>
      </c>
      <c r="E393" s="311" t="s">
        <v>1810</v>
      </c>
      <c r="F393" s="299">
        <v>0</v>
      </c>
      <c r="G393" s="299">
        <v>0</v>
      </c>
      <c r="H393" s="299">
        <v>0</v>
      </c>
      <c r="I393" s="299">
        <v>0</v>
      </c>
      <c r="J393" s="299">
        <v>0</v>
      </c>
      <c r="K393" s="299">
        <v>0</v>
      </c>
      <c r="L393" s="299">
        <v>0</v>
      </c>
      <c r="M393" s="301"/>
      <c r="N393" s="302"/>
      <c r="O393" s="665"/>
    </row>
    <row r="394" spans="1:15" hidden="1" x14ac:dyDescent="0.25">
      <c r="A394" s="334">
        <v>8009</v>
      </c>
      <c r="B394" s="335" t="s">
        <v>2032</v>
      </c>
      <c r="C394" s="311" t="s">
        <v>1810</v>
      </c>
      <c r="D394" s="311" t="s">
        <v>1810</v>
      </c>
      <c r="E394" s="311" t="s">
        <v>1810</v>
      </c>
      <c r="F394" s="299">
        <v>0</v>
      </c>
      <c r="G394" s="299">
        <v>0</v>
      </c>
      <c r="H394" s="299">
        <v>0</v>
      </c>
      <c r="I394" s="299">
        <v>0</v>
      </c>
      <c r="J394" s="299">
        <v>0</v>
      </c>
      <c r="K394" s="299">
        <v>0</v>
      </c>
      <c r="L394" s="299">
        <v>0</v>
      </c>
      <c r="M394" s="301"/>
      <c r="N394" s="302"/>
      <c r="O394" s="665"/>
    </row>
    <row r="395" spans="1:15" hidden="1" x14ac:dyDescent="0.25">
      <c r="A395" s="334">
        <v>8010</v>
      </c>
      <c r="B395" s="335" t="s">
        <v>2033</v>
      </c>
      <c r="C395" s="311" t="s">
        <v>1810</v>
      </c>
      <c r="D395" s="311" t="s">
        <v>1810</v>
      </c>
      <c r="E395" s="311" t="s">
        <v>1810</v>
      </c>
      <c r="F395" s="299">
        <v>0</v>
      </c>
      <c r="G395" s="299">
        <v>0</v>
      </c>
      <c r="H395" s="299">
        <v>0</v>
      </c>
      <c r="I395" s="299">
        <v>0</v>
      </c>
      <c r="J395" s="299">
        <v>0</v>
      </c>
      <c r="K395" s="299">
        <v>0</v>
      </c>
      <c r="L395" s="299">
        <v>0</v>
      </c>
      <c r="M395" s="301"/>
      <c r="N395" s="302"/>
      <c r="O395" s="665"/>
    </row>
    <row r="396" spans="1:15" hidden="1" x14ac:dyDescent="0.25">
      <c r="A396" s="334">
        <v>8011</v>
      </c>
      <c r="B396" s="335" t="s">
        <v>2034</v>
      </c>
      <c r="C396" s="311" t="s">
        <v>1810</v>
      </c>
      <c r="D396" s="311" t="s">
        <v>1810</v>
      </c>
      <c r="E396" s="311" t="s">
        <v>1810</v>
      </c>
      <c r="F396" s="299">
        <v>0</v>
      </c>
      <c r="G396" s="299">
        <v>0</v>
      </c>
      <c r="H396" s="299">
        <v>0</v>
      </c>
      <c r="I396" s="299">
        <v>0</v>
      </c>
      <c r="J396" s="299">
        <v>0</v>
      </c>
      <c r="K396" s="299">
        <v>0</v>
      </c>
      <c r="L396" s="299">
        <v>0</v>
      </c>
      <c r="M396" s="301"/>
      <c r="N396" s="302"/>
      <c r="O396" s="665"/>
    </row>
    <row r="397" spans="1:15" hidden="1" x14ac:dyDescent="0.25">
      <c r="A397" s="334">
        <v>8012</v>
      </c>
      <c r="B397" s="335" t="s">
        <v>2035</v>
      </c>
      <c r="C397" s="311" t="s">
        <v>1810</v>
      </c>
      <c r="D397" s="311" t="s">
        <v>1810</v>
      </c>
      <c r="E397" s="311" t="s">
        <v>1810</v>
      </c>
      <c r="F397" s="299">
        <v>0</v>
      </c>
      <c r="G397" s="299">
        <v>0</v>
      </c>
      <c r="H397" s="299">
        <v>0</v>
      </c>
      <c r="I397" s="299">
        <v>0</v>
      </c>
      <c r="J397" s="299">
        <v>0</v>
      </c>
      <c r="K397" s="299">
        <v>0</v>
      </c>
      <c r="L397" s="299">
        <v>0</v>
      </c>
      <c r="M397" s="301"/>
      <c r="N397" s="302"/>
      <c r="O397" s="665"/>
    </row>
    <row r="398" spans="1:15" hidden="1" x14ac:dyDescent="0.25">
      <c r="A398" s="334">
        <v>8013</v>
      </c>
      <c r="B398" s="335" t="s">
        <v>2036</v>
      </c>
      <c r="C398" s="311" t="s">
        <v>1810</v>
      </c>
      <c r="D398" s="311" t="s">
        <v>1810</v>
      </c>
      <c r="E398" s="311" t="s">
        <v>1810</v>
      </c>
      <c r="F398" s="299">
        <v>0</v>
      </c>
      <c r="G398" s="299">
        <v>0</v>
      </c>
      <c r="H398" s="299">
        <v>0</v>
      </c>
      <c r="I398" s="299">
        <v>0</v>
      </c>
      <c r="J398" s="299">
        <v>0</v>
      </c>
      <c r="K398" s="299">
        <v>0</v>
      </c>
      <c r="L398" s="299">
        <v>0</v>
      </c>
      <c r="M398" s="301"/>
      <c r="N398" s="302"/>
      <c r="O398" s="665"/>
    </row>
    <row r="399" spans="1:15" hidden="1" x14ac:dyDescent="0.25">
      <c r="A399" s="334">
        <v>8014</v>
      </c>
      <c r="B399" s="335" t="s">
        <v>2037</v>
      </c>
      <c r="C399" s="311" t="s">
        <v>1810</v>
      </c>
      <c r="D399" s="311" t="s">
        <v>1810</v>
      </c>
      <c r="E399" s="311" t="s">
        <v>1810</v>
      </c>
      <c r="F399" s="299">
        <v>0</v>
      </c>
      <c r="G399" s="299">
        <v>0</v>
      </c>
      <c r="H399" s="299">
        <v>0</v>
      </c>
      <c r="I399" s="299">
        <v>0</v>
      </c>
      <c r="J399" s="299">
        <v>0</v>
      </c>
      <c r="K399" s="299">
        <v>0</v>
      </c>
      <c r="L399" s="299">
        <v>0</v>
      </c>
      <c r="M399" s="301"/>
      <c r="N399" s="302"/>
      <c r="O399" s="665"/>
    </row>
    <row r="400" spans="1:15" hidden="1" x14ac:dyDescent="0.25">
      <c r="A400" s="334">
        <v>8016</v>
      </c>
      <c r="B400" s="335" t="s">
        <v>2038</v>
      </c>
      <c r="C400" s="311" t="s">
        <v>1810</v>
      </c>
      <c r="D400" s="311" t="s">
        <v>1810</v>
      </c>
      <c r="E400" s="311" t="s">
        <v>1810</v>
      </c>
      <c r="F400" s="299">
        <v>0</v>
      </c>
      <c r="G400" s="299">
        <v>0</v>
      </c>
      <c r="H400" s="299">
        <v>0</v>
      </c>
      <c r="I400" s="299">
        <v>0</v>
      </c>
      <c r="J400" s="299">
        <v>0</v>
      </c>
      <c r="K400" s="299">
        <v>0</v>
      </c>
      <c r="L400" s="299">
        <v>0</v>
      </c>
      <c r="M400" s="301"/>
      <c r="N400" s="302"/>
      <c r="O400" s="665"/>
    </row>
    <row r="401" spans="1:15" hidden="1" x14ac:dyDescent="0.25">
      <c r="A401" s="334">
        <v>8017</v>
      </c>
      <c r="B401" s="335" t="s">
        <v>2039</v>
      </c>
      <c r="C401" s="311" t="s">
        <v>1810</v>
      </c>
      <c r="D401" s="311" t="s">
        <v>1810</v>
      </c>
      <c r="E401" s="311" t="s">
        <v>1810</v>
      </c>
      <c r="F401" s="299">
        <v>0</v>
      </c>
      <c r="G401" s="299">
        <v>0</v>
      </c>
      <c r="H401" s="299">
        <v>0</v>
      </c>
      <c r="I401" s="299">
        <v>0</v>
      </c>
      <c r="J401" s="299">
        <v>0</v>
      </c>
      <c r="K401" s="299">
        <v>0</v>
      </c>
      <c r="L401" s="299">
        <v>0</v>
      </c>
      <c r="M401" s="301"/>
      <c r="N401" s="302"/>
      <c r="O401" s="665"/>
    </row>
    <row r="402" spans="1:15" hidden="1" x14ac:dyDescent="0.25">
      <c r="A402" s="334">
        <v>8018</v>
      </c>
      <c r="B402" s="335" t="s">
        <v>2040</v>
      </c>
      <c r="C402" s="311" t="s">
        <v>1810</v>
      </c>
      <c r="D402" s="311" t="s">
        <v>1810</v>
      </c>
      <c r="E402" s="311" t="s">
        <v>1810</v>
      </c>
      <c r="F402" s="299">
        <v>0</v>
      </c>
      <c r="G402" s="299">
        <v>0</v>
      </c>
      <c r="H402" s="299">
        <v>0</v>
      </c>
      <c r="I402" s="299">
        <v>0</v>
      </c>
      <c r="J402" s="299">
        <v>0</v>
      </c>
      <c r="K402" s="299">
        <v>0</v>
      </c>
      <c r="L402" s="299">
        <v>0</v>
      </c>
      <c r="M402" s="301"/>
      <c r="N402" s="302"/>
      <c r="O402" s="665"/>
    </row>
    <row r="403" spans="1:15" hidden="1" x14ac:dyDescent="0.25">
      <c r="A403" s="334">
        <v>8019</v>
      </c>
      <c r="B403" s="335" t="s">
        <v>2041</v>
      </c>
      <c r="C403" s="311" t="s">
        <v>1810</v>
      </c>
      <c r="D403" s="311" t="s">
        <v>1810</v>
      </c>
      <c r="E403" s="311" t="s">
        <v>1810</v>
      </c>
      <c r="F403" s="299">
        <v>0</v>
      </c>
      <c r="G403" s="299">
        <v>0</v>
      </c>
      <c r="H403" s="299">
        <v>0</v>
      </c>
      <c r="I403" s="299">
        <v>0</v>
      </c>
      <c r="J403" s="299">
        <v>0</v>
      </c>
      <c r="K403" s="299">
        <v>0</v>
      </c>
      <c r="L403" s="299">
        <v>0</v>
      </c>
      <c r="M403" s="301"/>
      <c r="N403" s="302"/>
      <c r="O403" s="665"/>
    </row>
    <row r="404" spans="1:15" hidden="1" x14ac:dyDescent="0.25">
      <c r="A404" s="334">
        <v>8020</v>
      </c>
      <c r="B404" s="335" t="s">
        <v>2042</v>
      </c>
      <c r="C404" s="311" t="s">
        <v>1810</v>
      </c>
      <c r="D404" s="311" t="s">
        <v>1810</v>
      </c>
      <c r="E404" s="311" t="s">
        <v>1810</v>
      </c>
      <c r="F404" s="299">
        <v>0</v>
      </c>
      <c r="G404" s="299">
        <v>0</v>
      </c>
      <c r="H404" s="299">
        <v>0</v>
      </c>
      <c r="I404" s="299">
        <v>0</v>
      </c>
      <c r="J404" s="299">
        <v>0</v>
      </c>
      <c r="K404" s="299">
        <v>0</v>
      </c>
      <c r="L404" s="299">
        <v>0</v>
      </c>
      <c r="M404" s="301"/>
      <c r="N404" s="302"/>
      <c r="O404" s="665"/>
    </row>
    <row r="405" spans="1:15" hidden="1" x14ac:dyDescent="0.25">
      <c r="A405" s="334">
        <v>8021</v>
      </c>
      <c r="B405" s="335" t="s">
        <v>2043</v>
      </c>
      <c r="C405" s="311" t="s">
        <v>1810</v>
      </c>
      <c r="D405" s="311" t="s">
        <v>1810</v>
      </c>
      <c r="E405" s="311" t="s">
        <v>1810</v>
      </c>
      <c r="F405" s="299">
        <v>0</v>
      </c>
      <c r="G405" s="299">
        <v>0</v>
      </c>
      <c r="H405" s="299">
        <v>0</v>
      </c>
      <c r="I405" s="299">
        <v>0</v>
      </c>
      <c r="J405" s="299">
        <v>0</v>
      </c>
      <c r="K405" s="299">
        <v>0</v>
      </c>
      <c r="L405" s="299">
        <v>0</v>
      </c>
      <c r="M405" s="301"/>
      <c r="N405" s="302"/>
      <c r="O405" s="665"/>
    </row>
    <row r="406" spans="1:15" hidden="1" x14ac:dyDescent="0.25">
      <c r="A406" s="334">
        <v>8022</v>
      </c>
      <c r="B406" s="335" t="s">
        <v>2044</v>
      </c>
      <c r="C406" s="311" t="s">
        <v>1810</v>
      </c>
      <c r="D406" s="311" t="s">
        <v>1810</v>
      </c>
      <c r="E406" s="311" t="s">
        <v>1810</v>
      </c>
      <c r="F406" s="299">
        <v>0</v>
      </c>
      <c r="G406" s="299">
        <v>0</v>
      </c>
      <c r="H406" s="299">
        <v>0</v>
      </c>
      <c r="I406" s="299">
        <v>0</v>
      </c>
      <c r="J406" s="299">
        <v>0</v>
      </c>
      <c r="K406" s="299">
        <v>0</v>
      </c>
      <c r="L406" s="299">
        <v>0</v>
      </c>
      <c r="M406" s="301"/>
      <c r="N406" s="302"/>
      <c r="O406" s="665"/>
    </row>
    <row r="407" spans="1:15" hidden="1" x14ac:dyDescent="0.25">
      <c r="A407" s="334">
        <v>8023</v>
      </c>
      <c r="B407" s="335" t="s">
        <v>2045</v>
      </c>
      <c r="C407" s="311" t="s">
        <v>1810</v>
      </c>
      <c r="D407" s="311" t="s">
        <v>1810</v>
      </c>
      <c r="E407" s="311" t="s">
        <v>1810</v>
      </c>
      <c r="F407" s="299">
        <v>0</v>
      </c>
      <c r="G407" s="299">
        <v>0</v>
      </c>
      <c r="H407" s="299">
        <v>0</v>
      </c>
      <c r="I407" s="299">
        <v>0</v>
      </c>
      <c r="J407" s="299">
        <v>0</v>
      </c>
      <c r="K407" s="299">
        <v>0</v>
      </c>
      <c r="L407" s="299">
        <v>0</v>
      </c>
      <c r="M407" s="301"/>
      <c r="N407" s="302"/>
      <c r="O407" s="665"/>
    </row>
    <row r="408" spans="1:15" hidden="1" x14ac:dyDescent="0.25">
      <c r="A408" s="334">
        <v>8024</v>
      </c>
      <c r="B408" s="335" t="s">
        <v>2046</v>
      </c>
      <c r="C408" s="311" t="s">
        <v>1810</v>
      </c>
      <c r="D408" s="311" t="s">
        <v>1810</v>
      </c>
      <c r="E408" s="311" t="s">
        <v>1810</v>
      </c>
      <c r="F408" s="299">
        <v>0</v>
      </c>
      <c r="G408" s="299">
        <v>0</v>
      </c>
      <c r="H408" s="299">
        <v>0</v>
      </c>
      <c r="I408" s="299">
        <v>0</v>
      </c>
      <c r="J408" s="299">
        <v>0</v>
      </c>
      <c r="K408" s="299">
        <v>0</v>
      </c>
      <c r="L408" s="299">
        <v>0</v>
      </c>
      <c r="M408" s="301"/>
      <c r="N408" s="302"/>
      <c r="O408" s="665"/>
    </row>
    <row r="409" spans="1:15" hidden="1" x14ac:dyDescent="0.25">
      <c r="A409" s="334">
        <v>8025</v>
      </c>
      <c r="B409" s="335" t="s">
        <v>2047</v>
      </c>
      <c r="C409" s="311" t="s">
        <v>1810</v>
      </c>
      <c r="D409" s="311" t="s">
        <v>1810</v>
      </c>
      <c r="E409" s="311" t="s">
        <v>1810</v>
      </c>
      <c r="F409" s="299">
        <v>0</v>
      </c>
      <c r="G409" s="299">
        <v>0</v>
      </c>
      <c r="H409" s="299">
        <v>0</v>
      </c>
      <c r="I409" s="299">
        <v>0</v>
      </c>
      <c r="J409" s="299">
        <v>0</v>
      </c>
      <c r="K409" s="299">
        <v>0</v>
      </c>
      <c r="L409" s="299">
        <v>0</v>
      </c>
      <c r="M409" s="301"/>
      <c r="N409" s="302"/>
      <c r="O409" s="665"/>
    </row>
    <row r="410" spans="1:15" hidden="1" x14ac:dyDescent="0.25">
      <c r="A410" s="334">
        <v>8026</v>
      </c>
      <c r="B410" s="335" t="s">
        <v>2048</v>
      </c>
      <c r="C410" s="311" t="s">
        <v>1810</v>
      </c>
      <c r="D410" s="311" t="s">
        <v>1810</v>
      </c>
      <c r="E410" s="311" t="s">
        <v>1810</v>
      </c>
      <c r="F410" s="299">
        <v>0</v>
      </c>
      <c r="G410" s="299">
        <v>0</v>
      </c>
      <c r="H410" s="299">
        <v>0</v>
      </c>
      <c r="I410" s="299">
        <v>0</v>
      </c>
      <c r="J410" s="299">
        <v>0</v>
      </c>
      <c r="K410" s="299">
        <v>0</v>
      </c>
      <c r="L410" s="299">
        <v>0</v>
      </c>
      <c r="M410" s="301"/>
      <c r="N410" s="302"/>
      <c r="O410" s="665"/>
    </row>
    <row r="411" spans="1:15" hidden="1" x14ac:dyDescent="0.25">
      <c r="A411" s="334">
        <v>8027</v>
      </c>
      <c r="B411" s="335" t="s">
        <v>2049</v>
      </c>
      <c r="C411" s="311" t="s">
        <v>1810</v>
      </c>
      <c r="D411" s="311" t="s">
        <v>1810</v>
      </c>
      <c r="E411" s="311" t="s">
        <v>1810</v>
      </c>
      <c r="F411" s="299">
        <v>0</v>
      </c>
      <c r="G411" s="299">
        <v>0</v>
      </c>
      <c r="H411" s="299">
        <v>0</v>
      </c>
      <c r="I411" s="299">
        <v>0</v>
      </c>
      <c r="J411" s="299">
        <v>0</v>
      </c>
      <c r="K411" s="299">
        <v>0</v>
      </c>
      <c r="L411" s="299">
        <v>0</v>
      </c>
      <c r="M411" s="301"/>
      <c r="N411" s="302"/>
      <c r="O411" s="665"/>
    </row>
    <row r="412" spans="1:15" hidden="1" x14ac:dyDescent="0.25">
      <c r="A412" s="334">
        <v>8028</v>
      </c>
      <c r="B412" s="335" t="s">
        <v>2050</v>
      </c>
      <c r="C412" s="311" t="s">
        <v>1810</v>
      </c>
      <c r="D412" s="311" t="s">
        <v>1810</v>
      </c>
      <c r="E412" s="311" t="s">
        <v>1810</v>
      </c>
      <c r="F412" s="299">
        <v>0</v>
      </c>
      <c r="G412" s="299">
        <v>0</v>
      </c>
      <c r="H412" s="299">
        <v>0</v>
      </c>
      <c r="I412" s="299">
        <v>0</v>
      </c>
      <c r="J412" s="299">
        <v>0</v>
      </c>
      <c r="K412" s="299">
        <v>0</v>
      </c>
      <c r="L412" s="299">
        <v>0</v>
      </c>
      <c r="M412" s="301"/>
      <c r="N412" s="302"/>
      <c r="O412" s="665"/>
    </row>
    <row r="413" spans="1:15" hidden="1" x14ac:dyDescent="0.25">
      <c r="A413" s="334">
        <v>8029</v>
      </c>
      <c r="B413" s="335" t="s">
        <v>2051</v>
      </c>
      <c r="C413" s="311" t="s">
        <v>1810</v>
      </c>
      <c r="D413" s="311" t="s">
        <v>1810</v>
      </c>
      <c r="E413" s="311" t="s">
        <v>1810</v>
      </c>
      <c r="F413" s="299">
        <v>0</v>
      </c>
      <c r="G413" s="299">
        <v>0</v>
      </c>
      <c r="H413" s="299">
        <v>0</v>
      </c>
      <c r="I413" s="299">
        <v>0</v>
      </c>
      <c r="J413" s="299">
        <v>0</v>
      </c>
      <c r="K413" s="299">
        <v>0</v>
      </c>
      <c r="L413" s="299">
        <v>0</v>
      </c>
      <c r="M413" s="301"/>
      <c r="N413" s="302"/>
      <c r="O413" s="665"/>
    </row>
    <row r="414" spans="1:15" hidden="1" x14ac:dyDescent="0.25">
      <c r="A414" s="334">
        <v>8030</v>
      </c>
      <c r="B414" s="335" t="s">
        <v>2052</v>
      </c>
      <c r="C414" s="311" t="s">
        <v>1810</v>
      </c>
      <c r="D414" s="311" t="s">
        <v>1810</v>
      </c>
      <c r="E414" s="311" t="s">
        <v>1810</v>
      </c>
      <c r="F414" s="299">
        <v>0</v>
      </c>
      <c r="G414" s="299">
        <v>0</v>
      </c>
      <c r="H414" s="299">
        <v>0</v>
      </c>
      <c r="I414" s="299">
        <v>0</v>
      </c>
      <c r="J414" s="299">
        <v>0</v>
      </c>
      <c r="K414" s="299">
        <v>0</v>
      </c>
      <c r="L414" s="299">
        <v>0</v>
      </c>
      <c r="M414" s="301"/>
      <c r="N414" s="302"/>
      <c r="O414" s="665"/>
    </row>
    <row r="415" spans="1:15" hidden="1" x14ac:dyDescent="0.25">
      <c r="A415" s="334">
        <v>8031</v>
      </c>
      <c r="B415" s="335" t="s">
        <v>2053</v>
      </c>
      <c r="C415" s="311" t="s">
        <v>1810</v>
      </c>
      <c r="D415" s="311" t="s">
        <v>1810</v>
      </c>
      <c r="E415" s="311" t="s">
        <v>1810</v>
      </c>
      <c r="F415" s="299">
        <v>0</v>
      </c>
      <c r="G415" s="299">
        <v>0</v>
      </c>
      <c r="H415" s="299">
        <v>0</v>
      </c>
      <c r="I415" s="299">
        <v>0</v>
      </c>
      <c r="J415" s="299">
        <v>0</v>
      </c>
      <c r="K415" s="299">
        <v>0</v>
      </c>
      <c r="L415" s="299">
        <v>0</v>
      </c>
      <c r="M415" s="301"/>
      <c r="N415" s="302"/>
      <c r="O415" s="665"/>
    </row>
    <row r="416" spans="1:15" hidden="1" x14ac:dyDescent="0.25">
      <c r="A416" s="334">
        <v>8032</v>
      </c>
      <c r="B416" s="335" t="s">
        <v>2054</v>
      </c>
      <c r="C416" s="311" t="s">
        <v>1810</v>
      </c>
      <c r="D416" s="311" t="s">
        <v>1810</v>
      </c>
      <c r="E416" s="311" t="s">
        <v>1810</v>
      </c>
      <c r="F416" s="299">
        <v>0</v>
      </c>
      <c r="G416" s="299">
        <v>0</v>
      </c>
      <c r="H416" s="299">
        <v>0</v>
      </c>
      <c r="I416" s="299">
        <v>0</v>
      </c>
      <c r="J416" s="299">
        <v>0</v>
      </c>
      <c r="K416" s="299">
        <v>0</v>
      </c>
      <c r="L416" s="299">
        <v>0</v>
      </c>
      <c r="M416" s="301"/>
      <c r="N416" s="302"/>
      <c r="O416" s="665"/>
    </row>
    <row r="417" spans="1:15" hidden="1" x14ac:dyDescent="0.25">
      <c r="A417" s="334">
        <v>8033</v>
      </c>
      <c r="B417" s="335" t="s">
        <v>2055</v>
      </c>
      <c r="C417" s="311" t="s">
        <v>1810</v>
      </c>
      <c r="D417" s="311" t="s">
        <v>1810</v>
      </c>
      <c r="E417" s="311" t="s">
        <v>1810</v>
      </c>
      <c r="F417" s="299">
        <v>0</v>
      </c>
      <c r="G417" s="299">
        <v>0</v>
      </c>
      <c r="H417" s="299">
        <v>0</v>
      </c>
      <c r="I417" s="299">
        <v>0</v>
      </c>
      <c r="J417" s="299">
        <v>0</v>
      </c>
      <c r="K417" s="299">
        <v>0</v>
      </c>
      <c r="L417" s="299">
        <v>0</v>
      </c>
      <c r="M417" s="301"/>
      <c r="N417" s="302"/>
      <c r="O417" s="665"/>
    </row>
    <row r="418" spans="1:15" hidden="1" x14ac:dyDescent="0.25">
      <c r="A418" s="334">
        <v>8034</v>
      </c>
      <c r="B418" s="335" t="s">
        <v>2056</v>
      </c>
      <c r="C418" s="311" t="s">
        <v>1810</v>
      </c>
      <c r="D418" s="311" t="s">
        <v>1810</v>
      </c>
      <c r="E418" s="311" t="s">
        <v>1810</v>
      </c>
      <c r="F418" s="299">
        <v>0</v>
      </c>
      <c r="G418" s="299">
        <v>0</v>
      </c>
      <c r="H418" s="299">
        <v>0</v>
      </c>
      <c r="I418" s="299">
        <v>0</v>
      </c>
      <c r="J418" s="299">
        <v>0</v>
      </c>
      <c r="K418" s="299">
        <v>0</v>
      </c>
      <c r="L418" s="299">
        <v>0</v>
      </c>
      <c r="M418" s="301"/>
      <c r="N418" s="302"/>
      <c r="O418" s="665"/>
    </row>
    <row r="419" spans="1:15" hidden="1" x14ac:dyDescent="0.25">
      <c r="A419" s="334">
        <v>8035</v>
      </c>
      <c r="B419" s="335" t="s">
        <v>2057</v>
      </c>
      <c r="C419" s="311" t="s">
        <v>1810</v>
      </c>
      <c r="D419" s="311" t="s">
        <v>1810</v>
      </c>
      <c r="E419" s="311" t="s">
        <v>1810</v>
      </c>
      <c r="F419" s="299">
        <v>0</v>
      </c>
      <c r="G419" s="299">
        <v>0</v>
      </c>
      <c r="H419" s="299">
        <v>0</v>
      </c>
      <c r="I419" s="299">
        <v>0</v>
      </c>
      <c r="J419" s="299">
        <v>0</v>
      </c>
      <c r="K419" s="299">
        <v>0</v>
      </c>
      <c r="L419" s="299">
        <v>0</v>
      </c>
      <c r="M419" s="301"/>
      <c r="N419" s="302"/>
      <c r="O419" s="665"/>
    </row>
    <row r="420" spans="1:15" hidden="1" x14ac:dyDescent="0.25">
      <c r="A420" s="334">
        <v>8036</v>
      </c>
      <c r="B420" s="335" t="s">
        <v>2058</v>
      </c>
      <c r="C420" s="311" t="s">
        <v>1810</v>
      </c>
      <c r="D420" s="311" t="s">
        <v>1810</v>
      </c>
      <c r="E420" s="311" t="s">
        <v>1810</v>
      </c>
      <c r="F420" s="299">
        <v>0</v>
      </c>
      <c r="G420" s="299">
        <v>0</v>
      </c>
      <c r="H420" s="299">
        <v>0</v>
      </c>
      <c r="I420" s="299">
        <v>0</v>
      </c>
      <c r="J420" s="299">
        <v>0</v>
      </c>
      <c r="K420" s="299">
        <v>0</v>
      </c>
      <c r="L420" s="299">
        <v>0</v>
      </c>
      <c r="M420" s="301"/>
      <c r="N420" s="302"/>
      <c r="O420" s="665"/>
    </row>
    <row r="421" spans="1:15" hidden="1" x14ac:dyDescent="0.25">
      <c r="A421" s="334">
        <v>8037</v>
      </c>
      <c r="B421" s="335" t="s">
        <v>2059</v>
      </c>
      <c r="C421" s="311" t="s">
        <v>1810</v>
      </c>
      <c r="D421" s="311" t="s">
        <v>1810</v>
      </c>
      <c r="E421" s="311" t="s">
        <v>1810</v>
      </c>
      <c r="F421" s="299">
        <v>0</v>
      </c>
      <c r="G421" s="299">
        <v>0</v>
      </c>
      <c r="H421" s="299">
        <v>0</v>
      </c>
      <c r="I421" s="299">
        <v>0</v>
      </c>
      <c r="J421" s="299">
        <v>0</v>
      </c>
      <c r="K421" s="299">
        <v>0</v>
      </c>
      <c r="L421" s="299">
        <v>0</v>
      </c>
      <c r="M421" s="301"/>
      <c r="N421" s="302"/>
      <c r="O421" s="665"/>
    </row>
    <row r="422" spans="1:15" hidden="1" x14ac:dyDescent="0.25">
      <c r="A422" s="334">
        <v>8038</v>
      </c>
      <c r="B422" s="335" t="s">
        <v>2060</v>
      </c>
      <c r="C422" s="311" t="s">
        <v>1810</v>
      </c>
      <c r="D422" s="311" t="s">
        <v>1810</v>
      </c>
      <c r="E422" s="311" t="s">
        <v>1810</v>
      </c>
      <c r="F422" s="299">
        <v>0</v>
      </c>
      <c r="G422" s="299">
        <v>0</v>
      </c>
      <c r="H422" s="299">
        <v>0</v>
      </c>
      <c r="I422" s="299">
        <v>0</v>
      </c>
      <c r="J422" s="299">
        <v>0</v>
      </c>
      <c r="K422" s="299">
        <v>0</v>
      </c>
      <c r="L422" s="299">
        <v>0</v>
      </c>
      <c r="M422" s="301"/>
      <c r="N422" s="302"/>
      <c r="O422" s="665"/>
    </row>
    <row r="423" spans="1:15" hidden="1" x14ac:dyDescent="0.25">
      <c r="A423" s="334">
        <v>8039</v>
      </c>
      <c r="B423" s="335" t="s">
        <v>2061</v>
      </c>
      <c r="C423" s="311" t="s">
        <v>1810</v>
      </c>
      <c r="D423" s="311" t="s">
        <v>1810</v>
      </c>
      <c r="E423" s="311" t="s">
        <v>1810</v>
      </c>
      <c r="F423" s="299">
        <v>0</v>
      </c>
      <c r="G423" s="299">
        <v>0</v>
      </c>
      <c r="H423" s="299">
        <v>0</v>
      </c>
      <c r="I423" s="299">
        <v>0</v>
      </c>
      <c r="J423" s="299">
        <v>0</v>
      </c>
      <c r="K423" s="299">
        <v>0</v>
      </c>
      <c r="L423" s="299">
        <v>0</v>
      </c>
      <c r="M423" s="301"/>
      <c r="N423" s="302"/>
      <c r="O423" s="665"/>
    </row>
    <row r="424" spans="1:15" hidden="1" x14ac:dyDescent="0.25">
      <c r="A424" s="334">
        <v>8040</v>
      </c>
      <c r="B424" s="335" t="s">
        <v>2062</v>
      </c>
      <c r="C424" s="311" t="s">
        <v>1810</v>
      </c>
      <c r="D424" s="311" t="s">
        <v>1810</v>
      </c>
      <c r="E424" s="311" t="s">
        <v>1810</v>
      </c>
      <c r="F424" s="299">
        <v>0</v>
      </c>
      <c r="G424" s="299">
        <v>0</v>
      </c>
      <c r="H424" s="299">
        <v>0</v>
      </c>
      <c r="I424" s="299">
        <v>0</v>
      </c>
      <c r="J424" s="299">
        <v>0</v>
      </c>
      <c r="K424" s="299">
        <v>0</v>
      </c>
      <c r="L424" s="299">
        <v>0</v>
      </c>
      <c r="M424" s="301"/>
      <c r="N424" s="302"/>
      <c r="O424" s="665"/>
    </row>
    <row r="425" spans="1:15" hidden="1" x14ac:dyDescent="0.25">
      <c r="A425" s="334">
        <v>8041</v>
      </c>
      <c r="B425" s="335" t="s">
        <v>2063</v>
      </c>
      <c r="C425" s="311" t="s">
        <v>1810</v>
      </c>
      <c r="D425" s="311" t="s">
        <v>1810</v>
      </c>
      <c r="E425" s="311" t="s">
        <v>1810</v>
      </c>
      <c r="F425" s="299">
        <v>0</v>
      </c>
      <c r="G425" s="299">
        <v>0</v>
      </c>
      <c r="H425" s="299">
        <v>0</v>
      </c>
      <c r="I425" s="299">
        <v>0</v>
      </c>
      <c r="J425" s="299">
        <v>0</v>
      </c>
      <c r="K425" s="299">
        <v>0</v>
      </c>
      <c r="L425" s="299">
        <v>0</v>
      </c>
      <c r="M425" s="301"/>
      <c r="N425" s="302"/>
      <c r="O425" s="665"/>
    </row>
    <row r="426" spans="1:15" hidden="1" x14ac:dyDescent="0.25">
      <c r="A426" s="334">
        <v>8042</v>
      </c>
      <c r="B426" s="335" t="s">
        <v>2064</v>
      </c>
      <c r="C426" s="311" t="s">
        <v>1810</v>
      </c>
      <c r="D426" s="311" t="s">
        <v>1810</v>
      </c>
      <c r="E426" s="311" t="s">
        <v>1810</v>
      </c>
      <c r="F426" s="299">
        <v>0</v>
      </c>
      <c r="G426" s="299">
        <v>0</v>
      </c>
      <c r="H426" s="299">
        <v>0</v>
      </c>
      <c r="I426" s="299">
        <v>0</v>
      </c>
      <c r="J426" s="299">
        <v>0</v>
      </c>
      <c r="K426" s="299">
        <v>0</v>
      </c>
      <c r="L426" s="299">
        <v>0</v>
      </c>
      <c r="M426" s="301"/>
      <c r="N426" s="302"/>
      <c r="O426" s="665"/>
    </row>
    <row r="427" spans="1:15" hidden="1" x14ac:dyDescent="0.25">
      <c r="A427" s="334">
        <v>8044</v>
      </c>
      <c r="B427" s="335" t="s">
        <v>2065</v>
      </c>
      <c r="C427" s="311" t="s">
        <v>1810</v>
      </c>
      <c r="D427" s="311" t="s">
        <v>1810</v>
      </c>
      <c r="E427" s="311" t="s">
        <v>1810</v>
      </c>
      <c r="F427" s="299">
        <v>0</v>
      </c>
      <c r="G427" s="299">
        <v>0</v>
      </c>
      <c r="H427" s="299">
        <v>0</v>
      </c>
      <c r="I427" s="299">
        <v>0</v>
      </c>
      <c r="J427" s="299">
        <v>0</v>
      </c>
      <c r="K427" s="299">
        <v>0</v>
      </c>
      <c r="L427" s="299">
        <v>0</v>
      </c>
      <c r="M427" s="301"/>
      <c r="N427" s="302"/>
      <c r="O427" s="665"/>
    </row>
    <row r="428" spans="1:15" hidden="1" x14ac:dyDescent="0.25">
      <c r="A428" s="334">
        <v>8045</v>
      </c>
      <c r="B428" s="335" t="s">
        <v>2066</v>
      </c>
      <c r="C428" s="311" t="s">
        <v>1810</v>
      </c>
      <c r="D428" s="311" t="s">
        <v>1810</v>
      </c>
      <c r="E428" s="311" t="s">
        <v>1810</v>
      </c>
      <c r="F428" s="299">
        <v>0</v>
      </c>
      <c r="G428" s="299">
        <v>0</v>
      </c>
      <c r="H428" s="299">
        <v>0</v>
      </c>
      <c r="I428" s="299">
        <v>0</v>
      </c>
      <c r="J428" s="299">
        <v>0</v>
      </c>
      <c r="K428" s="299">
        <v>0</v>
      </c>
      <c r="L428" s="299">
        <v>0</v>
      </c>
      <c r="M428" s="301"/>
      <c r="N428" s="302"/>
      <c r="O428" s="665"/>
    </row>
    <row r="429" spans="1:15" hidden="1" x14ac:dyDescent="0.25">
      <c r="A429" s="334">
        <v>8046</v>
      </c>
      <c r="B429" s="335" t="s">
        <v>2067</v>
      </c>
      <c r="C429" s="311" t="s">
        <v>1810</v>
      </c>
      <c r="D429" s="311" t="s">
        <v>1810</v>
      </c>
      <c r="E429" s="311" t="s">
        <v>1810</v>
      </c>
      <c r="F429" s="299">
        <v>0</v>
      </c>
      <c r="G429" s="299">
        <v>0</v>
      </c>
      <c r="H429" s="299">
        <v>0</v>
      </c>
      <c r="I429" s="299">
        <v>0</v>
      </c>
      <c r="J429" s="299">
        <v>0</v>
      </c>
      <c r="K429" s="299">
        <v>0</v>
      </c>
      <c r="L429" s="299">
        <v>0</v>
      </c>
      <c r="M429" s="301"/>
      <c r="N429" s="302"/>
      <c r="O429" s="665"/>
    </row>
    <row r="430" spans="1:15" hidden="1" x14ac:dyDescent="0.25">
      <c r="A430" s="334">
        <v>8047</v>
      </c>
      <c r="B430" s="335" t="s">
        <v>2068</v>
      </c>
      <c r="C430" s="311" t="s">
        <v>1810</v>
      </c>
      <c r="D430" s="311" t="s">
        <v>1810</v>
      </c>
      <c r="E430" s="311" t="s">
        <v>1810</v>
      </c>
      <c r="F430" s="299">
        <v>0</v>
      </c>
      <c r="G430" s="299">
        <v>0</v>
      </c>
      <c r="H430" s="299">
        <v>0</v>
      </c>
      <c r="I430" s="299">
        <v>0</v>
      </c>
      <c r="J430" s="299">
        <v>0</v>
      </c>
      <c r="K430" s="299">
        <v>0</v>
      </c>
      <c r="L430" s="299">
        <v>0</v>
      </c>
      <c r="M430" s="301"/>
      <c r="N430" s="302"/>
      <c r="O430" s="665"/>
    </row>
    <row r="431" spans="1:15" hidden="1" x14ac:dyDescent="0.25">
      <c r="A431" s="334">
        <v>8048</v>
      </c>
      <c r="B431" s="335" t="s">
        <v>2069</v>
      </c>
      <c r="C431" s="311" t="s">
        <v>1810</v>
      </c>
      <c r="D431" s="311" t="s">
        <v>1810</v>
      </c>
      <c r="E431" s="311" t="s">
        <v>1810</v>
      </c>
      <c r="F431" s="299">
        <v>0</v>
      </c>
      <c r="G431" s="299">
        <v>0</v>
      </c>
      <c r="H431" s="299">
        <v>0</v>
      </c>
      <c r="I431" s="299">
        <v>0</v>
      </c>
      <c r="J431" s="299">
        <v>0</v>
      </c>
      <c r="K431" s="299">
        <v>0</v>
      </c>
      <c r="L431" s="299">
        <v>0</v>
      </c>
      <c r="M431" s="301"/>
      <c r="N431" s="302"/>
      <c r="O431" s="665"/>
    </row>
    <row r="432" spans="1:15" hidden="1" x14ac:dyDescent="0.25">
      <c r="A432" s="334">
        <v>8049</v>
      </c>
      <c r="B432" s="335" t="s">
        <v>2070</v>
      </c>
      <c r="C432" s="311" t="s">
        <v>1810</v>
      </c>
      <c r="D432" s="311" t="s">
        <v>1810</v>
      </c>
      <c r="E432" s="311" t="s">
        <v>1810</v>
      </c>
      <c r="F432" s="299">
        <v>0</v>
      </c>
      <c r="G432" s="299">
        <v>0</v>
      </c>
      <c r="H432" s="299">
        <v>0</v>
      </c>
      <c r="I432" s="299">
        <v>0</v>
      </c>
      <c r="J432" s="299">
        <v>0</v>
      </c>
      <c r="K432" s="299">
        <v>0</v>
      </c>
      <c r="L432" s="299">
        <v>0</v>
      </c>
      <c r="M432" s="301"/>
      <c r="N432" s="302"/>
      <c r="O432" s="665"/>
    </row>
    <row r="433" spans="1:15" hidden="1" x14ac:dyDescent="0.25">
      <c r="A433" s="334">
        <v>8051</v>
      </c>
      <c r="B433" s="335" t="s">
        <v>2071</v>
      </c>
      <c r="C433" s="311" t="s">
        <v>1810</v>
      </c>
      <c r="D433" s="311" t="s">
        <v>1810</v>
      </c>
      <c r="E433" s="311" t="s">
        <v>1810</v>
      </c>
      <c r="F433" s="299">
        <v>0</v>
      </c>
      <c r="G433" s="299">
        <v>0</v>
      </c>
      <c r="H433" s="299">
        <v>0</v>
      </c>
      <c r="I433" s="299">
        <v>0</v>
      </c>
      <c r="J433" s="299">
        <v>0</v>
      </c>
      <c r="K433" s="299">
        <v>0</v>
      </c>
      <c r="L433" s="299">
        <v>0</v>
      </c>
      <c r="M433" s="301"/>
      <c r="N433" s="302"/>
      <c r="O433" s="665"/>
    </row>
    <row r="434" spans="1:15" hidden="1" x14ac:dyDescent="0.25">
      <c r="A434" s="334">
        <v>8052</v>
      </c>
      <c r="B434" s="335" t="s">
        <v>2072</v>
      </c>
      <c r="C434" s="311" t="s">
        <v>1810</v>
      </c>
      <c r="D434" s="311" t="s">
        <v>1810</v>
      </c>
      <c r="E434" s="311" t="s">
        <v>1810</v>
      </c>
      <c r="F434" s="299">
        <v>0</v>
      </c>
      <c r="G434" s="299">
        <v>0</v>
      </c>
      <c r="H434" s="299">
        <v>0</v>
      </c>
      <c r="I434" s="299">
        <v>0</v>
      </c>
      <c r="J434" s="299">
        <v>0</v>
      </c>
      <c r="K434" s="299">
        <v>0</v>
      </c>
      <c r="L434" s="299">
        <v>0</v>
      </c>
      <c r="M434" s="301"/>
      <c r="N434" s="302"/>
      <c r="O434" s="665"/>
    </row>
    <row r="435" spans="1:15" hidden="1" x14ac:dyDescent="0.25">
      <c r="A435" s="334">
        <v>8053</v>
      </c>
      <c r="B435" s="335" t="s">
        <v>2073</v>
      </c>
      <c r="C435" s="311" t="s">
        <v>1810</v>
      </c>
      <c r="D435" s="311" t="s">
        <v>1810</v>
      </c>
      <c r="E435" s="311" t="s">
        <v>1810</v>
      </c>
      <c r="F435" s="299">
        <v>0</v>
      </c>
      <c r="G435" s="299">
        <v>0</v>
      </c>
      <c r="H435" s="299">
        <v>0</v>
      </c>
      <c r="I435" s="299">
        <v>0</v>
      </c>
      <c r="J435" s="299">
        <v>0</v>
      </c>
      <c r="K435" s="299">
        <v>0</v>
      </c>
      <c r="L435" s="299">
        <v>0</v>
      </c>
      <c r="M435" s="301"/>
      <c r="N435" s="302"/>
      <c r="O435" s="665"/>
    </row>
    <row r="436" spans="1:15" hidden="1" x14ac:dyDescent="0.25">
      <c r="A436" s="334">
        <v>8054</v>
      </c>
      <c r="B436" s="335" t="s">
        <v>2074</v>
      </c>
      <c r="C436" s="311" t="s">
        <v>1810</v>
      </c>
      <c r="D436" s="311" t="s">
        <v>1810</v>
      </c>
      <c r="E436" s="311" t="s">
        <v>1810</v>
      </c>
      <c r="F436" s="299">
        <v>0</v>
      </c>
      <c r="G436" s="299">
        <v>0</v>
      </c>
      <c r="H436" s="299">
        <v>0</v>
      </c>
      <c r="I436" s="299">
        <v>0</v>
      </c>
      <c r="J436" s="299">
        <v>0</v>
      </c>
      <c r="K436" s="299">
        <v>0</v>
      </c>
      <c r="L436" s="299">
        <v>0</v>
      </c>
      <c r="M436" s="301"/>
      <c r="N436" s="302"/>
      <c r="O436" s="665"/>
    </row>
    <row r="437" spans="1:15" hidden="1" x14ac:dyDescent="0.25">
      <c r="A437" s="334">
        <v>8055</v>
      </c>
      <c r="B437" s="335" t="s">
        <v>2075</v>
      </c>
      <c r="C437" s="311" t="s">
        <v>1810</v>
      </c>
      <c r="D437" s="311" t="s">
        <v>1810</v>
      </c>
      <c r="E437" s="311" t="s">
        <v>1810</v>
      </c>
      <c r="F437" s="299">
        <v>0</v>
      </c>
      <c r="G437" s="299">
        <v>0</v>
      </c>
      <c r="H437" s="299">
        <v>0</v>
      </c>
      <c r="I437" s="299">
        <v>0</v>
      </c>
      <c r="J437" s="299">
        <v>0</v>
      </c>
      <c r="K437" s="299">
        <v>0</v>
      </c>
      <c r="L437" s="299">
        <v>0</v>
      </c>
      <c r="M437" s="301"/>
      <c r="N437" s="302"/>
      <c r="O437" s="665"/>
    </row>
    <row r="438" spans="1:15" hidden="1" x14ac:dyDescent="0.25">
      <c r="A438" s="334">
        <v>8059</v>
      </c>
      <c r="B438" s="335" t="s">
        <v>2076</v>
      </c>
      <c r="C438" s="311" t="s">
        <v>1810</v>
      </c>
      <c r="D438" s="311" t="s">
        <v>1810</v>
      </c>
      <c r="E438" s="311" t="s">
        <v>1810</v>
      </c>
      <c r="F438" s="299">
        <v>0</v>
      </c>
      <c r="G438" s="299">
        <v>0</v>
      </c>
      <c r="H438" s="299">
        <v>0</v>
      </c>
      <c r="I438" s="299">
        <v>0</v>
      </c>
      <c r="J438" s="299">
        <v>0</v>
      </c>
      <c r="K438" s="299">
        <v>0</v>
      </c>
      <c r="L438" s="299">
        <v>0</v>
      </c>
      <c r="M438" s="301"/>
      <c r="N438" s="302"/>
      <c r="O438" s="665"/>
    </row>
    <row r="439" spans="1:15" hidden="1" x14ac:dyDescent="0.25">
      <c r="A439" s="334">
        <v>8061</v>
      </c>
      <c r="B439" s="335" t="s">
        <v>2077</v>
      </c>
      <c r="C439" s="311" t="s">
        <v>1810</v>
      </c>
      <c r="D439" s="311" t="s">
        <v>1810</v>
      </c>
      <c r="E439" s="311" t="s">
        <v>1810</v>
      </c>
      <c r="F439" s="299">
        <v>0</v>
      </c>
      <c r="G439" s="299">
        <v>0</v>
      </c>
      <c r="H439" s="299">
        <v>0</v>
      </c>
      <c r="I439" s="299">
        <v>0</v>
      </c>
      <c r="J439" s="299">
        <v>0</v>
      </c>
      <c r="K439" s="299">
        <v>0</v>
      </c>
      <c r="L439" s="299">
        <v>0</v>
      </c>
      <c r="M439" s="301"/>
      <c r="N439" s="302"/>
      <c r="O439" s="665"/>
    </row>
    <row r="440" spans="1:15" hidden="1" x14ac:dyDescent="0.25">
      <c r="A440" s="334">
        <v>8063</v>
      </c>
      <c r="B440" s="335" t="s">
        <v>2078</v>
      </c>
      <c r="C440" s="311" t="s">
        <v>1810</v>
      </c>
      <c r="D440" s="311" t="s">
        <v>1810</v>
      </c>
      <c r="E440" s="311" t="s">
        <v>1810</v>
      </c>
      <c r="F440" s="299">
        <v>0</v>
      </c>
      <c r="G440" s="299">
        <v>0</v>
      </c>
      <c r="H440" s="299">
        <v>0</v>
      </c>
      <c r="I440" s="299">
        <v>0</v>
      </c>
      <c r="J440" s="299">
        <v>0</v>
      </c>
      <c r="K440" s="299">
        <v>0</v>
      </c>
      <c r="L440" s="299">
        <v>0</v>
      </c>
      <c r="M440" s="301"/>
      <c r="N440" s="302"/>
      <c r="O440" s="665"/>
    </row>
    <row r="441" spans="1:15" hidden="1" x14ac:dyDescent="0.25">
      <c r="A441" s="334">
        <v>8064</v>
      </c>
      <c r="B441" s="335" t="s">
        <v>2079</v>
      </c>
      <c r="C441" s="311" t="s">
        <v>1810</v>
      </c>
      <c r="D441" s="311" t="s">
        <v>1810</v>
      </c>
      <c r="E441" s="311" t="s">
        <v>1810</v>
      </c>
      <c r="F441" s="299">
        <v>0</v>
      </c>
      <c r="G441" s="299">
        <v>0</v>
      </c>
      <c r="H441" s="299">
        <v>0</v>
      </c>
      <c r="I441" s="299">
        <v>0</v>
      </c>
      <c r="J441" s="299">
        <v>0</v>
      </c>
      <c r="K441" s="299">
        <v>0</v>
      </c>
      <c r="L441" s="299">
        <v>0</v>
      </c>
      <c r="M441" s="301"/>
      <c r="N441" s="302"/>
      <c r="O441" s="665"/>
    </row>
    <row r="442" spans="1:15" hidden="1" x14ac:dyDescent="0.25">
      <c r="A442" s="334">
        <v>8067</v>
      </c>
      <c r="B442" s="335" t="s">
        <v>2080</v>
      </c>
      <c r="C442" s="311" t="s">
        <v>1810</v>
      </c>
      <c r="D442" s="311" t="s">
        <v>1810</v>
      </c>
      <c r="E442" s="311" t="s">
        <v>1810</v>
      </c>
      <c r="F442" s="299">
        <v>0</v>
      </c>
      <c r="G442" s="299">
        <v>0</v>
      </c>
      <c r="H442" s="299">
        <v>0</v>
      </c>
      <c r="I442" s="299">
        <v>0</v>
      </c>
      <c r="J442" s="299">
        <v>0</v>
      </c>
      <c r="K442" s="299">
        <v>0</v>
      </c>
      <c r="L442" s="299">
        <v>0</v>
      </c>
      <c r="M442" s="301"/>
      <c r="N442" s="302"/>
      <c r="O442" s="665"/>
    </row>
    <row r="443" spans="1:15" hidden="1" x14ac:dyDescent="0.25">
      <c r="A443" s="334">
        <v>8072</v>
      </c>
      <c r="B443" s="335" t="s">
        <v>2081</v>
      </c>
      <c r="C443" s="311" t="s">
        <v>1810</v>
      </c>
      <c r="D443" s="311" t="s">
        <v>1810</v>
      </c>
      <c r="E443" s="311" t="s">
        <v>1810</v>
      </c>
      <c r="F443" s="299">
        <v>0</v>
      </c>
      <c r="G443" s="299">
        <v>0</v>
      </c>
      <c r="H443" s="299">
        <v>0</v>
      </c>
      <c r="I443" s="299">
        <v>0</v>
      </c>
      <c r="J443" s="299">
        <v>0</v>
      </c>
      <c r="K443" s="299">
        <v>0</v>
      </c>
      <c r="L443" s="299">
        <v>0</v>
      </c>
      <c r="M443" s="301"/>
      <c r="N443" s="302"/>
      <c r="O443" s="665"/>
    </row>
    <row r="444" spans="1:15" hidden="1" x14ac:dyDescent="0.25">
      <c r="A444" s="334">
        <v>8073</v>
      </c>
      <c r="B444" s="335" t="s">
        <v>2082</v>
      </c>
      <c r="C444" s="311" t="s">
        <v>1810</v>
      </c>
      <c r="D444" s="311" t="s">
        <v>1810</v>
      </c>
      <c r="E444" s="311" t="s">
        <v>1810</v>
      </c>
      <c r="F444" s="299">
        <v>0</v>
      </c>
      <c r="G444" s="299">
        <v>0</v>
      </c>
      <c r="H444" s="299">
        <v>0</v>
      </c>
      <c r="I444" s="299">
        <v>0</v>
      </c>
      <c r="J444" s="299">
        <v>0</v>
      </c>
      <c r="K444" s="299">
        <v>0</v>
      </c>
      <c r="L444" s="299">
        <v>0</v>
      </c>
      <c r="M444" s="301"/>
      <c r="N444" s="302"/>
      <c r="O444" s="665"/>
    </row>
    <row r="445" spans="1:15" hidden="1" x14ac:dyDescent="0.25">
      <c r="A445" s="334">
        <v>8074</v>
      </c>
      <c r="B445" s="335" t="s">
        <v>2083</v>
      </c>
      <c r="C445" s="311" t="s">
        <v>1810</v>
      </c>
      <c r="D445" s="311" t="s">
        <v>1810</v>
      </c>
      <c r="E445" s="311" t="s">
        <v>1810</v>
      </c>
      <c r="F445" s="299">
        <v>0</v>
      </c>
      <c r="G445" s="299">
        <v>0</v>
      </c>
      <c r="H445" s="299">
        <v>0</v>
      </c>
      <c r="I445" s="299">
        <v>0</v>
      </c>
      <c r="J445" s="299">
        <v>0</v>
      </c>
      <c r="K445" s="299">
        <v>0</v>
      </c>
      <c r="L445" s="299">
        <v>0</v>
      </c>
      <c r="M445" s="301"/>
      <c r="N445" s="302"/>
      <c r="O445" s="665"/>
    </row>
    <row r="446" spans="1:15" hidden="1" x14ac:dyDescent="0.25">
      <c r="A446" s="334">
        <v>8075</v>
      </c>
      <c r="B446" s="335" t="s">
        <v>2084</v>
      </c>
      <c r="C446" s="311" t="s">
        <v>1810</v>
      </c>
      <c r="D446" s="311" t="s">
        <v>1810</v>
      </c>
      <c r="E446" s="311" t="s">
        <v>1810</v>
      </c>
      <c r="F446" s="299">
        <v>0</v>
      </c>
      <c r="G446" s="299">
        <v>0</v>
      </c>
      <c r="H446" s="299">
        <v>0</v>
      </c>
      <c r="I446" s="299">
        <v>0</v>
      </c>
      <c r="J446" s="299">
        <v>0</v>
      </c>
      <c r="K446" s="299">
        <v>0</v>
      </c>
      <c r="L446" s="299">
        <v>0</v>
      </c>
      <c r="M446" s="301"/>
      <c r="N446" s="302"/>
      <c r="O446" s="665"/>
    </row>
    <row r="447" spans="1:15" hidden="1" x14ac:dyDescent="0.25">
      <c r="A447" s="334">
        <v>8076</v>
      </c>
      <c r="B447" s="335" t="s">
        <v>2085</v>
      </c>
      <c r="C447" s="311" t="s">
        <v>1810</v>
      </c>
      <c r="D447" s="311" t="s">
        <v>1810</v>
      </c>
      <c r="E447" s="311" t="s">
        <v>1810</v>
      </c>
      <c r="F447" s="299">
        <v>0</v>
      </c>
      <c r="G447" s="299">
        <v>0</v>
      </c>
      <c r="H447" s="299">
        <v>0</v>
      </c>
      <c r="I447" s="299">
        <v>0</v>
      </c>
      <c r="J447" s="299">
        <v>0</v>
      </c>
      <c r="K447" s="299">
        <v>0</v>
      </c>
      <c r="L447" s="299">
        <v>0</v>
      </c>
      <c r="M447" s="301"/>
      <c r="N447" s="302"/>
      <c r="O447" s="665"/>
    </row>
    <row r="448" spans="1:15" hidden="1" x14ac:dyDescent="0.25">
      <c r="A448" s="334">
        <v>8078</v>
      </c>
      <c r="B448" s="335" t="s">
        <v>841</v>
      </c>
      <c r="C448" s="311" t="s">
        <v>1810</v>
      </c>
      <c r="D448" s="311" t="s">
        <v>1810</v>
      </c>
      <c r="E448" s="311" t="s">
        <v>1810</v>
      </c>
      <c r="F448" s="299">
        <v>0</v>
      </c>
      <c r="G448" s="299">
        <v>0</v>
      </c>
      <c r="H448" s="299">
        <v>0</v>
      </c>
      <c r="I448" s="299">
        <v>203175.82</v>
      </c>
      <c r="J448" s="299">
        <v>0</v>
      </c>
      <c r="K448" s="299">
        <v>0</v>
      </c>
      <c r="L448" s="299">
        <v>203176</v>
      </c>
      <c r="M448" s="301"/>
      <c r="N448" s="302"/>
      <c r="O448" s="665"/>
    </row>
    <row r="449" spans="1:15" hidden="1" x14ac:dyDescent="0.25">
      <c r="A449" s="334">
        <v>8079</v>
      </c>
      <c r="B449" s="335" t="s">
        <v>2086</v>
      </c>
      <c r="C449" s="311" t="s">
        <v>1810</v>
      </c>
      <c r="D449" s="311" t="s">
        <v>1810</v>
      </c>
      <c r="E449" s="311" t="s">
        <v>1810</v>
      </c>
      <c r="F449" s="299">
        <v>0</v>
      </c>
      <c r="G449" s="299">
        <v>0</v>
      </c>
      <c r="H449" s="299">
        <v>0</v>
      </c>
      <c r="I449" s="299">
        <v>0</v>
      </c>
      <c r="J449" s="299">
        <v>0</v>
      </c>
      <c r="K449" s="299">
        <v>0</v>
      </c>
      <c r="L449" s="299">
        <v>0</v>
      </c>
      <c r="M449" s="301"/>
      <c r="N449" s="302"/>
      <c r="O449" s="665"/>
    </row>
    <row r="450" spans="1:15" hidden="1" x14ac:dyDescent="0.25">
      <c r="A450" s="334">
        <v>8081</v>
      </c>
      <c r="B450" s="335" t="s">
        <v>2087</v>
      </c>
      <c r="C450" s="311" t="s">
        <v>1810</v>
      </c>
      <c r="D450" s="311" t="s">
        <v>1810</v>
      </c>
      <c r="E450" s="311" t="s">
        <v>1810</v>
      </c>
      <c r="F450" s="299">
        <v>0</v>
      </c>
      <c r="G450" s="299">
        <v>0</v>
      </c>
      <c r="H450" s="299">
        <v>0</v>
      </c>
      <c r="I450" s="299">
        <v>0</v>
      </c>
      <c r="J450" s="299">
        <v>0</v>
      </c>
      <c r="K450" s="299">
        <v>0</v>
      </c>
      <c r="L450" s="299">
        <v>0</v>
      </c>
      <c r="M450" s="301"/>
      <c r="N450" s="302"/>
      <c r="O450" s="665"/>
    </row>
    <row r="451" spans="1:15" hidden="1" x14ac:dyDescent="0.25">
      <c r="A451" s="334">
        <v>8082</v>
      </c>
      <c r="B451" s="335" t="s">
        <v>2088</v>
      </c>
      <c r="C451" s="311" t="s">
        <v>1810</v>
      </c>
      <c r="D451" s="311" t="s">
        <v>1810</v>
      </c>
      <c r="E451" s="311" t="s">
        <v>1810</v>
      </c>
      <c r="F451" s="299">
        <v>0</v>
      </c>
      <c r="G451" s="299">
        <v>0</v>
      </c>
      <c r="H451" s="299">
        <v>0</v>
      </c>
      <c r="I451" s="299">
        <v>0</v>
      </c>
      <c r="J451" s="299">
        <v>0</v>
      </c>
      <c r="K451" s="299">
        <v>0</v>
      </c>
      <c r="L451" s="299">
        <v>0</v>
      </c>
      <c r="M451" s="301"/>
      <c r="N451" s="302"/>
      <c r="O451" s="665"/>
    </row>
    <row r="452" spans="1:15" hidden="1" x14ac:dyDescent="0.25">
      <c r="A452" s="334">
        <v>8086</v>
      </c>
      <c r="B452" s="335" t="s">
        <v>2089</v>
      </c>
      <c r="C452" s="311" t="s">
        <v>1810</v>
      </c>
      <c r="D452" s="311" t="s">
        <v>1810</v>
      </c>
      <c r="E452" s="311" t="s">
        <v>1810</v>
      </c>
      <c r="F452" s="299">
        <v>0</v>
      </c>
      <c r="G452" s="299">
        <v>0</v>
      </c>
      <c r="H452" s="299">
        <v>0</v>
      </c>
      <c r="I452" s="299">
        <v>0</v>
      </c>
      <c r="J452" s="299">
        <v>0</v>
      </c>
      <c r="K452" s="299">
        <v>0</v>
      </c>
      <c r="L452" s="299">
        <v>0</v>
      </c>
      <c r="M452" s="301"/>
      <c r="N452" s="302"/>
      <c r="O452" s="665"/>
    </row>
    <row r="453" spans="1:15" hidden="1" x14ac:dyDescent="0.25">
      <c r="A453" s="334">
        <v>8087</v>
      </c>
      <c r="B453" s="335" t="s">
        <v>2090</v>
      </c>
      <c r="C453" s="311" t="s">
        <v>1810</v>
      </c>
      <c r="D453" s="311" t="s">
        <v>1810</v>
      </c>
      <c r="E453" s="311" t="s">
        <v>1810</v>
      </c>
      <c r="F453" s="299">
        <v>0</v>
      </c>
      <c r="G453" s="299">
        <v>0</v>
      </c>
      <c r="H453" s="299">
        <v>0</v>
      </c>
      <c r="I453" s="299">
        <v>0</v>
      </c>
      <c r="J453" s="299">
        <v>0</v>
      </c>
      <c r="K453" s="299">
        <v>0</v>
      </c>
      <c r="L453" s="299">
        <v>0</v>
      </c>
      <c r="M453" s="301"/>
      <c r="N453" s="302"/>
      <c r="O453" s="665"/>
    </row>
    <row r="454" spans="1:15" hidden="1" x14ac:dyDescent="0.25">
      <c r="A454" s="334">
        <v>8088</v>
      </c>
      <c r="B454" s="335" t="s">
        <v>2091</v>
      </c>
      <c r="C454" s="311" t="s">
        <v>1810</v>
      </c>
      <c r="D454" s="311" t="s">
        <v>1810</v>
      </c>
      <c r="E454" s="311" t="s">
        <v>1810</v>
      </c>
      <c r="F454" s="299">
        <v>0</v>
      </c>
      <c r="G454" s="299">
        <v>0</v>
      </c>
      <c r="H454" s="299">
        <v>0</v>
      </c>
      <c r="I454" s="299">
        <v>0</v>
      </c>
      <c r="J454" s="299">
        <v>0</v>
      </c>
      <c r="K454" s="299">
        <v>0</v>
      </c>
      <c r="L454" s="299">
        <v>0</v>
      </c>
      <c r="M454" s="301"/>
      <c r="N454" s="302"/>
      <c r="O454" s="665"/>
    </row>
    <row r="455" spans="1:15" hidden="1" x14ac:dyDescent="0.25">
      <c r="A455" s="334">
        <v>8089</v>
      </c>
      <c r="B455" s="335" t="s">
        <v>2092</v>
      </c>
      <c r="C455" s="311" t="s">
        <v>1810</v>
      </c>
      <c r="D455" s="311" t="s">
        <v>1810</v>
      </c>
      <c r="E455" s="311" t="s">
        <v>1810</v>
      </c>
      <c r="F455" s="299">
        <v>0</v>
      </c>
      <c r="G455" s="299">
        <v>0</v>
      </c>
      <c r="H455" s="299">
        <v>0</v>
      </c>
      <c r="I455" s="299">
        <v>0</v>
      </c>
      <c r="J455" s="299">
        <v>0</v>
      </c>
      <c r="K455" s="299">
        <v>0</v>
      </c>
      <c r="L455" s="299">
        <v>0</v>
      </c>
      <c r="M455" s="301"/>
      <c r="N455" s="302"/>
      <c r="O455" s="665"/>
    </row>
    <row r="456" spans="1:15" hidden="1" x14ac:dyDescent="0.25">
      <c r="A456" s="334">
        <v>8090</v>
      </c>
      <c r="B456" s="335" t="s">
        <v>2093</v>
      </c>
      <c r="C456" s="311" t="s">
        <v>1810</v>
      </c>
      <c r="D456" s="311" t="s">
        <v>1810</v>
      </c>
      <c r="E456" s="311" t="s">
        <v>1810</v>
      </c>
      <c r="F456" s="299">
        <v>0</v>
      </c>
      <c r="G456" s="299">
        <v>0</v>
      </c>
      <c r="H456" s="299">
        <v>0</v>
      </c>
      <c r="I456" s="299">
        <v>0</v>
      </c>
      <c r="J456" s="299">
        <v>0</v>
      </c>
      <c r="K456" s="299">
        <v>0</v>
      </c>
      <c r="L456" s="299">
        <v>0</v>
      </c>
      <c r="M456" s="301"/>
      <c r="N456" s="302"/>
      <c r="O456" s="665"/>
    </row>
    <row r="457" spans="1:15" hidden="1" x14ac:dyDescent="0.25">
      <c r="A457" s="334">
        <v>8091</v>
      </c>
      <c r="B457" s="335" t="s">
        <v>2094</v>
      </c>
      <c r="C457" s="311" t="s">
        <v>1810</v>
      </c>
      <c r="D457" s="311" t="s">
        <v>1810</v>
      </c>
      <c r="E457" s="311" t="s">
        <v>1810</v>
      </c>
      <c r="F457" s="299">
        <v>0</v>
      </c>
      <c r="G457" s="299">
        <v>0</v>
      </c>
      <c r="H457" s="299">
        <v>0</v>
      </c>
      <c r="I457" s="299">
        <v>0</v>
      </c>
      <c r="J457" s="299">
        <v>0</v>
      </c>
      <c r="K457" s="299">
        <v>0</v>
      </c>
      <c r="L457" s="299">
        <v>0</v>
      </c>
      <c r="M457" s="301"/>
      <c r="N457" s="302"/>
      <c r="O457" s="665"/>
    </row>
    <row r="458" spans="1:15" hidden="1" x14ac:dyDescent="0.25">
      <c r="A458" s="334">
        <v>8092</v>
      </c>
      <c r="B458" s="335" t="s">
        <v>2095</v>
      </c>
      <c r="C458" s="311" t="s">
        <v>1810</v>
      </c>
      <c r="D458" s="311" t="s">
        <v>1810</v>
      </c>
      <c r="E458" s="311" t="s">
        <v>1810</v>
      </c>
      <c r="F458" s="299">
        <v>0</v>
      </c>
      <c r="G458" s="299">
        <v>0</v>
      </c>
      <c r="H458" s="299">
        <v>0</v>
      </c>
      <c r="I458" s="299">
        <v>0</v>
      </c>
      <c r="J458" s="299">
        <v>0</v>
      </c>
      <c r="K458" s="299">
        <v>0</v>
      </c>
      <c r="L458" s="299">
        <v>0</v>
      </c>
      <c r="M458" s="301"/>
      <c r="N458" s="302"/>
      <c r="O458" s="665"/>
    </row>
    <row r="459" spans="1:15" hidden="1" x14ac:dyDescent="0.25">
      <c r="A459" s="334">
        <v>8093</v>
      </c>
      <c r="B459" s="335" t="s">
        <v>2096</v>
      </c>
      <c r="C459" s="311" t="s">
        <v>1810</v>
      </c>
      <c r="D459" s="311" t="s">
        <v>1810</v>
      </c>
      <c r="E459" s="311" t="s">
        <v>1810</v>
      </c>
      <c r="F459" s="299">
        <v>0</v>
      </c>
      <c r="G459" s="299">
        <v>0</v>
      </c>
      <c r="H459" s="299">
        <v>0</v>
      </c>
      <c r="I459" s="299">
        <v>0</v>
      </c>
      <c r="J459" s="299">
        <v>0</v>
      </c>
      <c r="K459" s="299">
        <v>0</v>
      </c>
      <c r="L459" s="299">
        <v>0</v>
      </c>
      <c r="M459" s="301"/>
      <c r="N459" s="302"/>
      <c r="O459" s="665"/>
    </row>
    <row r="460" spans="1:15" hidden="1" x14ac:dyDescent="0.25">
      <c r="A460" s="334">
        <v>8094</v>
      </c>
      <c r="B460" s="335" t="s">
        <v>2097</v>
      </c>
      <c r="C460" s="311" t="s">
        <v>1810</v>
      </c>
      <c r="D460" s="311" t="s">
        <v>1810</v>
      </c>
      <c r="E460" s="311" t="s">
        <v>1810</v>
      </c>
      <c r="F460" s="299">
        <v>0</v>
      </c>
      <c r="G460" s="299">
        <v>0</v>
      </c>
      <c r="H460" s="299">
        <v>0</v>
      </c>
      <c r="I460" s="299">
        <v>0</v>
      </c>
      <c r="J460" s="299">
        <v>0</v>
      </c>
      <c r="K460" s="299">
        <v>0</v>
      </c>
      <c r="L460" s="299">
        <v>0</v>
      </c>
      <c r="M460" s="301"/>
      <c r="N460" s="302"/>
      <c r="O460" s="665"/>
    </row>
    <row r="461" spans="1:15" hidden="1" x14ac:dyDescent="0.25">
      <c r="A461" s="334">
        <v>8095</v>
      </c>
      <c r="B461" s="335" t="s">
        <v>2098</v>
      </c>
      <c r="C461" s="311" t="s">
        <v>1810</v>
      </c>
      <c r="D461" s="311" t="s">
        <v>1810</v>
      </c>
      <c r="E461" s="311" t="s">
        <v>1810</v>
      </c>
      <c r="F461" s="299">
        <v>0</v>
      </c>
      <c r="G461" s="299">
        <v>0</v>
      </c>
      <c r="H461" s="299">
        <v>0</v>
      </c>
      <c r="I461" s="299">
        <v>0</v>
      </c>
      <c r="J461" s="299">
        <v>0</v>
      </c>
      <c r="K461" s="299">
        <v>0</v>
      </c>
      <c r="L461" s="299">
        <v>0</v>
      </c>
      <c r="M461" s="301"/>
      <c r="N461" s="302"/>
      <c r="O461" s="665"/>
    </row>
    <row r="462" spans="1:15" hidden="1" x14ac:dyDescent="0.25">
      <c r="A462" s="334">
        <v>8096</v>
      </c>
      <c r="B462" s="335" t="s">
        <v>842</v>
      </c>
      <c r="C462" s="311" t="s">
        <v>1810</v>
      </c>
      <c r="D462" s="311" t="s">
        <v>1810</v>
      </c>
      <c r="E462" s="311" t="s">
        <v>1810</v>
      </c>
      <c r="F462" s="299">
        <v>0</v>
      </c>
      <c r="G462" s="299">
        <v>0</v>
      </c>
      <c r="H462" s="299">
        <v>0</v>
      </c>
      <c r="I462" s="299">
        <v>36281.120000000003</v>
      </c>
      <c r="J462" s="299">
        <v>0</v>
      </c>
      <c r="K462" s="299">
        <v>0</v>
      </c>
      <c r="L462" s="299">
        <v>36281</v>
      </c>
      <c r="M462" s="301"/>
      <c r="N462" s="302"/>
      <c r="O462" s="665"/>
    </row>
    <row r="463" spans="1:15" hidden="1" x14ac:dyDescent="0.25">
      <c r="A463" s="334">
        <v>8097</v>
      </c>
      <c r="B463" s="335" t="s">
        <v>2099</v>
      </c>
      <c r="C463" s="311" t="s">
        <v>1810</v>
      </c>
      <c r="D463" s="311" t="s">
        <v>1810</v>
      </c>
      <c r="E463" s="311" t="s">
        <v>1810</v>
      </c>
      <c r="F463" s="299">
        <v>0</v>
      </c>
      <c r="G463" s="299">
        <v>0</v>
      </c>
      <c r="H463" s="299">
        <v>0</v>
      </c>
      <c r="I463" s="299">
        <v>0</v>
      </c>
      <c r="J463" s="299">
        <v>0</v>
      </c>
      <c r="K463" s="299">
        <v>0</v>
      </c>
      <c r="L463" s="299">
        <v>0</v>
      </c>
      <c r="M463" s="301"/>
      <c r="N463" s="302"/>
      <c r="O463" s="665"/>
    </row>
    <row r="464" spans="1:15" hidden="1" x14ac:dyDescent="0.25">
      <c r="A464" s="334">
        <v>8098</v>
      </c>
      <c r="B464" s="335" t="s">
        <v>843</v>
      </c>
      <c r="C464" s="311" t="s">
        <v>1810</v>
      </c>
      <c r="D464" s="311" t="s">
        <v>1810</v>
      </c>
      <c r="E464" s="311" t="s">
        <v>1810</v>
      </c>
      <c r="F464" s="299">
        <v>0</v>
      </c>
      <c r="G464" s="299">
        <v>0</v>
      </c>
      <c r="H464" s="299">
        <v>0</v>
      </c>
      <c r="I464" s="299">
        <v>3253.9500000000003</v>
      </c>
      <c r="J464" s="299">
        <v>1043.08</v>
      </c>
      <c r="K464" s="299">
        <v>0</v>
      </c>
      <c r="L464" s="299">
        <v>4297</v>
      </c>
      <c r="M464" s="301"/>
      <c r="N464" s="302"/>
      <c r="O464" s="665"/>
    </row>
    <row r="465" spans="1:15" hidden="1" x14ac:dyDescent="0.25">
      <c r="A465" s="334">
        <v>8099</v>
      </c>
      <c r="B465" s="335" t="s">
        <v>2100</v>
      </c>
      <c r="C465" s="311" t="s">
        <v>1810</v>
      </c>
      <c r="D465" s="311" t="s">
        <v>1810</v>
      </c>
      <c r="E465" s="311" t="s">
        <v>1810</v>
      </c>
      <c r="F465" s="299">
        <v>0</v>
      </c>
      <c r="G465" s="299">
        <v>0</v>
      </c>
      <c r="H465" s="299">
        <v>0</v>
      </c>
      <c r="I465" s="299">
        <v>0</v>
      </c>
      <c r="J465" s="299">
        <v>0</v>
      </c>
      <c r="K465" s="299">
        <v>0</v>
      </c>
      <c r="L465" s="299">
        <v>0</v>
      </c>
      <c r="M465" s="301"/>
      <c r="N465" s="302"/>
      <c r="O465" s="665"/>
    </row>
    <row r="466" spans="1:15" hidden="1" x14ac:dyDescent="0.25">
      <c r="A466" s="334">
        <v>8110</v>
      </c>
      <c r="B466" s="335" t="s">
        <v>2101</v>
      </c>
      <c r="C466" s="311" t="s">
        <v>1810</v>
      </c>
      <c r="D466" s="311" t="s">
        <v>1810</v>
      </c>
      <c r="E466" s="311" t="s">
        <v>1810</v>
      </c>
      <c r="F466" s="299">
        <v>0</v>
      </c>
      <c r="G466" s="299">
        <v>0</v>
      </c>
      <c r="H466" s="299">
        <v>0</v>
      </c>
      <c r="I466" s="299">
        <v>0</v>
      </c>
      <c r="J466" s="299">
        <v>0</v>
      </c>
      <c r="K466" s="299">
        <v>0</v>
      </c>
      <c r="L466" s="299">
        <v>0</v>
      </c>
      <c r="M466" s="301"/>
      <c r="N466" s="302"/>
      <c r="O466" s="665"/>
    </row>
    <row r="467" spans="1:15" hidden="1" x14ac:dyDescent="0.25">
      <c r="A467" s="334">
        <v>8113</v>
      </c>
      <c r="B467" s="335" t="s">
        <v>2102</v>
      </c>
      <c r="C467" s="311" t="s">
        <v>1810</v>
      </c>
      <c r="D467" s="311" t="s">
        <v>1810</v>
      </c>
      <c r="E467" s="311" t="s">
        <v>1810</v>
      </c>
      <c r="F467" s="299">
        <v>0</v>
      </c>
      <c r="G467" s="299">
        <v>0</v>
      </c>
      <c r="H467" s="299">
        <v>0</v>
      </c>
      <c r="I467" s="299">
        <v>0</v>
      </c>
      <c r="J467" s="299">
        <v>0</v>
      </c>
      <c r="K467" s="299">
        <v>0</v>
      </c>
      <c r="L467" s="299">
        <v>0</v>
      </c>
      <c r="M467" s="301"/>
      <c r="N467" s="302"/>
      <c r="O467" s="665"/>
    </row>
    <row r="468" spans="1:15" hidden="1" x14ac:dyDescent="0.25">
      <c r="A468" s="334">
        <v>8117</v>
      </c>
      <c r="B468" s="335" t="s">
        <v>2103</v>
      </c>
      <c r="C468" s="311" t="s">
        <v>1810</v>
      </c>
      <c r="D468" s="311" t="s">
        <v>1810</v>
      </c>
      <c r="E468" s="311" t="s">
        <v>1810</v>
      </c>
      <c r="F468" s="299">
        <v>0</v>
      </c>
      <c r="G468" s="299">
        <v>0</v>
      </c>
      <c r="H468" s="299">
        <v>0</v>
      </c>
      <c r="I468" s="299">
        <v>0</v>
      </c>
      <c r="J468" s="299">
        <v>0</v>
      </c>
      <c r="K468" s="299">
        <v>0</v>
      </c>
      <c r="L468" s="299">
        <v>0</v>
      </c>
      <c r="M468" s="301"/>
      <c r="N468" s="302"/>
      <c r="O468" s="665"/>
    </row>
    <row r="469" spans="1:15" hidden="1" x14ac:dyDescent="0.25">
      <c r="A469" s="334">
        <v>8120</v>
      </c>
      <c r="B469" s="335" t="s">
        <v>2104</v>
      </c>
      <c r="C469" s="311" t="s">
        <v>1810</v>
      </c>
      <c r="D469" s="311" t="s">
        <v>1810</v>
      </c>
      <c r="E469" s="311" t="s">
        <v>1810</v>
      </c>
      <c r="F469" s="299">
        <v>0</v>
      </c>
      <c r="G469" s="299">
        <v>0</v>
      </c>
      <c r="H469" s="299">
        <v>0</v>
      </c>
      <c r="I469" s="299">
        <v>0</v>
      </c>
      <c r="J469" s="299">
        <v>0</v>
      </c>
      <c r="K469" s="299">
        <v>0</v>
      </c>
      <c r="L469" s="299">
        <v>0</v>
      </c>
      <c r="M469" s="301"/>
      <c r="N469" s="302"/>
      <c r="O469" s="665"/>
    </row>
    <row r="470" spans="1:15" hidden="1" x14ac:dyDescent="0.25">
      <c r="A470" s="334">
        <v>8124</v>
      </c>
      <c r="B470" s="335" t="s">
        <v>2105</v>
      </c>
      <c r="C470" s="311" t="s">
        <v>1810</v>
      </c>
      <c r="D470" s="311" t="s">
        <v>1810</v>
      </c>
      <c r="E470" s="311" t="s">
        <v>1810</v>
      </c>
      <c r="F470" s="299">
        <v>0</v>
      </c>
      <c r="G470" s="299">
        <v>0</v>
      </c>
      <c r="H470" s="299">
        <v>0</v>
      </c>
      <c r="I470" s="299">
        <v>0</v>
      </c>
      <c r="J470" s="299">
        <v>0</v>
      </c>
      <c r="K470" s="299">
        <v>0</v>
      </c>
      <c r="L470" s="299">
        <v>0</v>
      </c>
      <c r="M470" s="301"/>
      <c r="N470" s="302"/>
      <c r="O470" s="665"/>
    </row>
    <row r="471" spans="1:15" hidden="1" x14ac:dyDescent="0.25">
      <c r="A471" s="334">
        <v>8137</v>
      </c>
      <c r="B471" s="335" t="s">
        <v>2106</v>
      </c>
      <c r="C471" s="311" t="s">
        <v>1810</v>
      </c>
      <c r="D471" s="311" t="s">
        <v>1810</v>
      </c>
      <c r="E471" s="311" t="s">
        <v>1810</v>
      </c>
      <c r="F471" s="299">
        <v>0</v>
      </c>
      <c r="G471" s="299">
        <v>0</v>
      </c>
      <c r="H471" s="299">
        <v>0</v>
      </c>
      <c r="I471" s="299">
        <v>0</v>
      </c>
      <c r="J471" s="299">
        <v>0</v>
      </c>
      <c r="K471" s="299">
        <v>0</v>
      </c>
      <c r="L471" s="299">
        <v>0</v>
      </c>
      <c r="M471" s="301"/>
      <c r="N471" s="302"/>
      <c r="O471" s="665"/>
    </row>
    <row r="472" spans="1:15" hidden="1" x14ac:dyDescent="0.25">
      <c r="A472" s="334">
        <v>8152</v>
      </c>
      <c r="B472" s="335" t="s">
        <v>2107</v>
      </c>
      <c r="C472" s="311" t="s">
        <v>1810</v>
      </c>
      <c r="D472" s="311" t="s">
        <v>1810</v>
      </c>
      <c r="E472" s="311" t="s">
        <v>1810</v>
      </c>
      <c r="F472" s="299">
        <v>0</v>
      </c>
      <c r="G472" s="299">
        <v>0</v>
      </c>
      <c r="H472" s="299">
        <v>0</v>
      </c>
      <c r="I472" s="299">
        <v>0</v>
      </c>
      <c r="J472" s="299">
        <v>0</v>
      </c>
      <c r="K472" s="299">
        <v>0</v>
      </c>
      <c r="L472" s="299">
        <v>0</v>
      </c>
      <c r="M472" s="301"/>
      <c r="N472" s="302"/>
      <c r="O472" s="665"/>
    </row>
    <row r="473" spans="1:15" hidden="1" x14ac:dyDescent="0.25">
      <c r="A473" s="334">
        <v>8163</v>
      </c>
      <c r="B473" s="335" t="s">
        <v>2108</v>
      </c>
      <c r="C473" s="311" t="s">
        <v>1810</v>
      </c>
      <c r="D473" s="311" t="s">
        <v>1810</v>
      </c>
      <c r="E473" s="311" t="s">
        <v>1810</v>
      </c>
      <c r="F473" s="299">
        <v>0</v>
      </c>
      <c r="G473" s="299">
        <v>0</v>
      </c>
      <c r="H473" s="299">
        <v>0</v>
      </c>
      <c r="I473" s="299">
        <v>0</v>
      </c>
      <c r="J473" s="299">
        <v>0</v>
      </c>
      <c r="K473" s="299">
        <v>0</v>
      </c>
      <c r="L473" s="299">
        <v>0</v>
      </c>
      <c r="M473" s="301"/>
      <c r="N473" s="302"/>
      <c r="O473" s="665"/>
    </row>
    <row r="474" spans="1:15" hidden="1" x14ac:dyDescent="0.25">
      <c r="A474" s="334">
        <v>8167</v>
      </c>
      <c r="B474" s="335" t="s">
        <v>2109</v>
      </c>
      <c r="C474" s="311" t="s">
        <v>1810</v>
      </c>
      <c r="D474" s="311" t="s">
        <v>1810</v>
      </c>
      <c r="E474" s="311" t="s">
        <v>1810</v>
      </c>
      <c r="F474" s="299">
        <v>0</v>
      </c>
      <c r="G474" s="299">
        <v>0</v>
      </c>
      <c r="H474" s="299">
        <v>0</v>
      </c>
      <c r="I474" s="299">
        <v>0</v>
      </c>
      <c r="J474" s="299">
        <v>0</v>
      </c>
      <c r="K474" s="299">
        <v>0</v>
      </c>
      <c r="L474" s="299">
        <v>0</v>
      </c>
      <c r="M474" s="301"/>
      <c r="N474" s="302"/>
      <c r="O474" s="665"/>
    </row>
    <row r="475" spans="1:15" hidden="1" x14ac:dyDescent="0.25">
      <c r="A475" s="334">
        <v>8168</v>
      </c>
      <c r="B475" s="335" t="s">
        <v>2110</v>
      </c>
      <c r="C475" s="311" t="s">
        <v>1810</v>
      </c>
      <c r="D475" s="311" t="s">
        <v>1810</v>
      </c>
      <c r="E475" s="311" t="s">
        <v>1810</v>
      </c>
      <c r="F475" s="299">
        <v>0</v>
      </c>
      <c r="G475" s="299">
        <v>0</v>
      </c>
      <c r="H475" s="299">
        <v>0</v>
      </c>
      <c r="I475" s="299">
        <v>0</v>
      </c>
      <c r="J475" s="299">
        <v>0</v>
      </c>
      <c r="K475" s="299">
        <v>0</v>
      </c>
      <c r="L475" s="299">
        <v>0</v>
      </c>
      <c r="M475" s="301"/>
      <c r="N475" s="302"/>
      <c r="O475" s="665"/>
    </row>
    <row r="476" spans="1:15" hidden="1" x14ac:dyDescent="0.25">
      <c r="A476" s="334">
        <v>8190</v>
      </c>
      <c r="B476" s="335" t="s">
        <v>2111</v>
      </c>
      <c r="C476" s="311" t="s">
        <v>1810</v>
      </c>
      <c r="D476" s="311" t="s">
        <v>1810</v>
      </c>
      <c r="E476" s="311" t="s">
        <v>1810</v>
      </c>
      <c r="F476" s="299">
        <v>0</v>
      </c>
      <c r="G476" s="299">
        <v>0</v>
      </c>
      <c r="H476" s="299">
        <v>0</v>
      </c>
      <c r="I476" s="299">
        <v>0</v>
      </c>
      <c r="J476" s="299">
        <v>0</v>
      </c>
      <c r="K476" s="299">
        <v>0</v>
      </c>
      <c r="L476" s="299">
        <v>0</v>
      </c>
      <c r="M476" s="301"/>
      <c r="N476" s="302"/>
      <c r="O476" s="665"/>
    </row>
    <row r="477" spans="1:15" hidden="1" x14ac:dyDescent="0.25">
      <c r="A477" s="334">
        <v>8193</v>
      </c>
      <c r="B477" s="335" t="s">
        <v>2112</v>
      </c>
      <c r="C477" s="311" t="s">
        <v>1810</v>
      </c>
      <c r="D477" s="311" t="s">
        <v>1810</v>
      </c>
      <c r="E477" s="311" t="s">
        <v>1810</v>
      </c>
      <c r="F477" s="299">
        <v>0</v>
      </c>
      <c r="G477" s="299">
        <v>0</v>
      </c>
      <c r="H477" s="299">
        <v>0</v>
      </c>
      <c r="I477" s="299">
        <v>0</v>
      </c>
      <c r="J477" s="299">
        <v>0</v>
      </c>
      <c r="K477" s="299">
        <v>0</v>
      </c>
      <c r="L477" s="299">
        <v>0</v>
      </c>
      <c r="M477" s="301"/>
      <c r="N477" s="302"/>
      <c r="O477" s="665"/>
    </row>
    <row r="478" spans="1:15" hidden="1" x14ac:dyDescent="0.25">
      <c r="A478" s="334">
        <v>8195</v>
      </c>
      <c r="B478" s="335" t="s">
        <v>2113</v>
      </c>
      <c r="C478" s="311" t="s">
        <v>1810</v>
      </c>
      <c r="D478" s="311" t="s">
        <v>1810</v>
      </c>
      <c r="E478" s="311" t="s">
        <v>1810</v>
      </c>
      <c r="F478" s="299">
        <v>0</v>
      </c>
      <c r="G478" s="299">
        <v>0</v>
      </c>
      <c r="H478" s="299">
        <v>0</v>
      </c>
      <c r="I478" s="299">
        <v>0</v>
      </c>
      <c r="J478" s="299">
        <v>0</v>
      </c>
      <c r="K478" s="299">
        <v>0</v>
      </c>
      <c r="L478" s="299">
        <v>0</v>
      </c>
      <c r="M478" s="301"/>
      <c r="N478" s="302"/>
      <c r="O478" s="665"/>
    </row>
    <row r="479" spans="1:15" hidden="1" x14ac:dyDescent="0.25">
      <c r="A479" s="334">
        <v>8196</v>
      </c>
      <c r="B479" s="335" t="s">
        <v>2114</v>
      </c>
      <c r="C479" s="311" t="s">
        <v>1810</v>
      </c>
      <c r="D479" s="311" t="s">
        <v>1810</v>
      </c>
      <c r="E479" s="311" t="s">
        <v>1810</v>
      </c>
      <c r="F479" s="299">
        <v>0</v>
      </c>
      <c r="G479" s="299">
        <v>0</v>
      </c>
      <c r="H479" s="299">
        <v>0</v>
      </c>
      <c r="I479" s="299">
        <v>0</v>
      </c>
      <c r="J479" s="299">
        <v>0</v>
      </c>
      <c r="K479" s="299">
        <v>0</v>
      </c>
      <c r="L479" s="299">
        <v>0</v>
      </c>
      <c r="M479" s="301"/>
      <c r="N479" s="302"/>
      <c r="O479" s="665"/>
    </row>
    <row r="480" spans="1:15" hidden="1" x14ac:dyDescent="0.25">
      <c r="A480" s="334">
        <v>8197</v>
      </c>
      <c r="B480" s="335" t="s">
        <v>2115</v>
      </c>
      <c r="C480" s="311" t="s">
        <v>1810</v>
      </c>
      <c r="D480" s="311" t="s">
        <v>1810</v>
      </c>
      <c r="E480" s="311" t="s">
        <v>1810</v>
      </c>
      <c r="F480" s="299">
        <v>0</v>
      </c>
      <c r="G480" s="299">
        <v>0</v>
      </c>
      <c r="H480" s="299">
        <v>0</v>
      </c>
      <c r="I480" s="299">
        <v>0</v>
      </c>
      <c r="J480" s="299">
        <v>0</v>
      </c>
      <c r="K480" s="299">
        <v>0</v>
      </c>
      <c r="L480" s="299">
        <v>0</v>
      </c>
      <c r="M480" s="301"/>
      <c r="N480" s="302"/>
      <c r="O480" s="665"/>
    </row>
    <row r="481" spans="1:15" hidden="1" x14ac:dyDescent="0.25">
      <c r="A481" s="334">
        <v>8198</v>
      </c>
      <c r="B481" s="335" t="s">
        <v>2116</v>
      </c>
      <c r="C481" s="311" t="s">
        <v>1810</v>
      </c>
      <c r="D481" s="311" t="s">
        <v>1810</v>
      </c>
      <c r="E481" s="311" t="s">
        <v>1810</v>
      </c>
      <c r="F481" s="299">
        <v>0</v>
      </c>
      <c r="G481" s="299">
        <v>0</v>
      </c>
      <c r="H481" s="299">
        <v>0</v>
      </c>
      <c r="I481" s="299">
        <v>0</v>
      </c>
      <c r="J481" s="299">
        <v>0</v>
      </c>
      <c r="K481" s="299">
        <v>0</v>
      </c>
      <c r="L481" s="299">
        <v>0</v>
      </c>
      <c r="M481" s="301"/>
      <c r="N481" s="302"/>
      <c r="O481" s="665"/>
    </row>
    <row r="482" spans="1:15" hidden="1" x14ac:dyDescent="0.25">
      <c r="A482" s="334">
        <v>8204</v>
      </c>
      <c r="B482" s="335" t="s">
        <v>2117</v>
      </c>
      <c r="C482" s="311" t="s">
        <v>1810</v>
      </c>
      <c r="D482" s="311" t="s">
        <v>1810</v>
      </c>
      <c r="E482" s="311" t="s">
        <v>1810</v>
      </c>
      <c r="F482" s="299">
        <v>0</v>
      </c>
      <c r="G482" s="299">
        <v>0</v>
      </c>
      <c r="H482" s="299">
        <v>0</v>
      </c>
      <c r="I482" s="299">
        <v>0</v>
      </c>
      <c r="J482" s="299">
        <v>0</v>
      </c>
      <c r="K482" s="299">
        <v>0</v>
      </c>
      <c r="L482" s="299">
        <v>0</v>
      </c>
      <c r="M482" s="301"/>
      <c r="N482" s="302"/>
      <c r="O482" s="665"/>
    </row>
    <row r="483" spans="1:15" hidden="1" x14ac:dyDescent="0.25">
      <c r="A483" s="334">
        <v>8211</v>
      </c>
      <c r="B483" s="335" t="s">
        <v>2118</v>
      </c>
      <c r="C483" s="311" t="s">
        <v>1810</v>
      </c>
      <c r="D483" s="311" t="s">
        <v>1810</v>
      </c>
      <c r="E483" s="311" t="s">
        <v>1810</v>
      </c>
      <c r="F483" s="299">
        <v>0</v>
      </c>
      <c r="G483" s="299">
        <v>0</v>
      </c>
      <c r="H483" s="299">
        <v>0</v>
      </c>
      <c r="I483" s="299">
        <v>0</v>
      </c>
      <c r="J483" s="299">
        <v>0</v>
      </c>
      <c r="K483" s="299">
        <v>0</v>
      </c>
      <c r="L483" s="299">
        <v>0</v>
      </c>
      <c r="M483" s="301"/>
      <c r="N483" s="302"/>
      <c r="O483" s="665"/>
    </row>
    <row r="484" spans="1:15" hidden="1" x14ac:dyDescent="0.25">
      <c r="A484" s="334">
        <v>8214</v>
      </c>
      <c r="B484" s="335" t="s">
        <v>2119</v>
      </c>
      <c r="C484" s="311" t="s">
        <v>1810</v>
      </c>
      <c r="D484" s="311" t="s">
        <v>1810</v>
      </c>
      <c r="E484" s="311" t="s">
        <v>1810</v>
      </c>
      <c r="F484" s="299">
        <v>0</v>
      </c>
      <c r="G484" s="299">
        <v>0</v>
      </c>
      <c r="H484" s="299">
        <v>0</v>
      </c>
      <c r="I484" s="299">
        <v>0</v>
      </c>
      <c r="J484" s="299">
        <v>0</v>
      </c>
      <c r="K484" s="299">
        <v>0</v>
      </c>
      <c r="L484" s="299">
        <v>0</v>
      </c>
      <c r="M484" s="301"/>
      <c r="N484" s="302"/>
      <c r="O484" s="665"/>
    </row>
    <row r="485" spans="1:15" hidden="1" x14ac:dyDescent="0.25">
      <c r="A485" s="334">
        <v>8220</v>
      </c>
      <c r="B485" s="335" t="s">
        <v>2120</v>
      </c>
      <c r="C485" s="311" t="s">
        <v>1810</v>
      </c>
      <c r="D485" s="311" t="s">
        <v>1810</v>
      </c>
      <c r="E485" s="311" t="s">
        <v>1810</v>
      </c>
      <c r="F485" s="299">
        <v>0</v>
      </c>
      <c r="G485" s="299">
        <v>0</v>
      </c>
      <c r="H485" s="299">
        <v>0</v>
      </c>
      <c r="I485" s="299">
        <v>0</v>
      </c>
      <c r="J485" s="299">
        <v>0</v>
      </c>
      <c r="K485" s="299">
        <v>0</v>
      </c>
      <c r="L485" s="299">
        <v>0</v>
      </c>
      <c r="M485" s="301"/>
      <c r="N485" s="302"/>
      <c r="O485" s="665"/>
    </row>
    <row r="486" spans="1:15" hidden="1" x14ac:dyDescent="0.25">
      <c r="A486" s="334">
        <v>8222</v>
      </c>
      <c r="B486" s="335" t="s">
        <v>2121</v>
      </c>
      <c r="C486" s="311" t="s">
        <v>1810</v>
      </c>
      <c r="D486" s="311" t="s">
        <v>1810</v>
      </c>
      <c r="E486" s="311" t="s">
        <v>1810</v>
      </c>
      <c r="F486" s="299">
        <v>0</v>
      </c>
      <c r="G486" s="299">
        <v>0</v>
      </c>
      <c r="H486" s="299">
        <v>0</v>
      </c>
      <c r="I486" s="299">
        <v>0</v>
      </c>
      <c r="J486" s="299">
        <v>0</v>
      </c>
      <c r="K486" s="299">
        <v>0</v>
      </c>
      <c r="L486" s="299">
        <v>0</v>
      </c>
      <c r="M486" s="301"/>
      <c r="N486" s="302"/>
      <c r="O486" s="665"/>
    </row>
    <row r="487" spans="1:15" hidden="1" x14ac:dyDescent="0.25">
      <c r="A487" s="334">
        <v>8225</v>
      </c>
      <c r="B487" s="335" t="s">
        <v>2122</v>
      </c>
      <c r="C487" s="311" t="s">
        <v>1810</v>
      </c>
      <c r="D487" s="311" t="s">
        <v>1810</v>
      </c>
      <c r="E487" s="311" t="s">
        <v>1810</v>
      </c>
      <c r="F487" s="299">
        <v>0</v>
      </c>
      <c r="G487" s="299">
        <v>0</v>
      </c>
      <c r="H487" s="299">
        <v>0</v>
      </c>
      <c r="I487" s="299">
        <v>0</v>
      </c>
      <c r="J487" s="299">
        <v>0</v>
      </c>
      <c r="K487" s="299">
        <v>0</v>
      </c>
      <c r="L487" s="299">
        <v>0</v>
      </c>
      <c r="M487" s="301"/>
      <c r="N487" s="302"/>
      <c r="O487" s="665"/>
    </row>
    <row r="488" spans="1:15" hidden="1" x14ac:dyDescent="0.25">
      <c r="A488" s="334">
        <v>8226</v>
      </c>
      <c r="B488" s="335" t="s">
        <v>2123</v>
      </c>
      <c r="C488" s="311" t="s">
        <v>1810</v>
      </c>
      <c r="D488" s="311" t="s">
        <v>1810</v>
      </c>
      <c r="E488" s="311" t="s">
        <v>1810</v>
      </c>
      <c r="F488" s="299">
        <v>0</v>
      </c>
      <c r="G488" s="299">
        <v>0</v>
      </c>
      <c r="H488" s="299">
        <v>0</v>
      </c>
      <c r="I488" s="299">
        <v>0</v>
      </c>
      <c r="J488" s="299">
        <v>0</v>
      </c>
      <c r="K488" s="299">
        <v>0</v>
      </c>
      <c r="L488" s="299">
        <v>0</v>
      </c>
      <c r="M488" s="301"/>
      <c r="N488" s="302"/>
      <c r="O488" s="665"/>
    </row>
    <row r="489" spans="1:15" hidden="1" x14ac:dyDescent="0.25">
      <c r="A489" s="334">
        <v>8234</v>
      </c>
      <c r="B489" s="335" t="s">
        <v>2124</v>
      </c>
      <c r="C489" s="311" t="s">
        <v>1810</v>
      </c>
      <c r="D489" s="311" t="s">
        <v>1810</v>
      </c>
      <c r="E489" s="311" t="s">
        <v>1810</v>
      </c>
      <c r="F489" s="299">
        <v>0</v>
      </c>
      <c r="G489" s="299">
        <v>0</v>
      </c>
      <c r="H489" s="299">
        <v>0</v>
      </c>
      <c r="I489" s="299">
        <v>0</v>
      </c>
      <c r="J489" s="299">
        <v>0</v>
      </c>
      <c r="K489" s="299">
        <v>0</v>
      </c>
      <c r="L489" s="299">
        <v>0</v>
      </c>
      <c r="M489" s="301"/>
      <c r="N489" s="302"/>
      <c r="O489" s="665"/>
    </row>
    <row r="490" spans="1:15" hidden="1" x14ac:dyDescent="0.25">
      <c r="A490" s="334">
        <v>8243</v>
      </c>
      <c r="B490" s="335" t="s">
        <v>2125</v>
      </c>
      <c r="C490" s="311" t="s">
        <v>1810</v>
      </c>
      <c r="D490" s="311" t="s">
        <v>1810</v>
      </c>
      <c r="E490" s="311" t="s">
        <v>1810</v>
      </c>
      <c r="F490" s="299">
        <v>0</v>
      </c>
      <c r="G490" s="299">
        <v>0</v>
      </c>
      <c r="H490" s="299">
        <v>0</v>
      </c>
      <c r="I490" s="299">
        <v>0</v>
      </c>
      <c r="J490" s="299">
        <v>0</v>
      </c>
      <c r="K490" s="299">
        <v>0</v>
      </c>
      <c r="L490" s="299">
        <v>0</v>
      </c>
      <c r="M490" s="301"/>
      <c r="N490" s="302"/>
      <c r="O490" s="665"/>
    </row>
    <row r="491" spans="1:15" hidden="1" x14ac:dyDescent="0.25">
      <c r="A491" s="334">
        <v>8250</v>
      </c>
      <c r="B491" s="335" t="s">
        <v>2126</v>
      </c>
      <c r="C491" s="311" t="s">
        <v>1810</v>
      </c>
      <c r="D491" s="311" t="s">
        <v>1810</v>
      </c>
      <c r="E491" s="311" t="s">
        <v>1810</v>
      </c>
      <c r="F491" s="299">
        <v>0</v>
      </c>
      <c r="G491" s="299">
        <v>0</v>
      </c>
      <c r="H491" s="299">
        <v>0</v>
      </c>
      <c r="I491" s="299">
        <v>0</v>
      </c>
      <c r="J491" s="299">
        <v>0</v>
      </c>
      <c r="K491" s="299">
        <v>0</v>
      </c>
      <c r="L491" s="299">
        <v>0</v>
      </c>
      <c r="M491" s="301"/>
      <c r="N491" s="302"/>
      <c r="O491" s="665"/>
    </row>
    <row r="492" spans="1:15" hidden="1" x14ac:dyDescent="0.25">
      <c r="A492" s="334">
        <v>8267</v>
      </c>
      <c r="B492" s="335" t="s">
        <v>2127</v>
      </c>
      <c r="C492" s="311" t="s">
        <v>1810</v>
      </c>
      <c r="D492" s="311" t="s">
        <v>1810</v>
      </c>
      <c r="E492" s="311" t="s">
        <v>1810</v>
      </c>
      <c r="F492" s="299">
        <v>0</v>
      </c>
      <c r="G492" s="299">
        <v>0</v>
      </c>
      <c r="H492" s="299">
        <v>0</v>
      </c>
      <c r="I492" s="299">
        <v>0</v>
      </c>
      <c r="J492" s="299">
        <v>0</v>
      </c>
      <c r="K492" s="299">
        <v>0</v>
      </c>
      <c r="L492" s="299">
        <v>0</v>
      </c>
      <c r="M492" s="301"/>
      <c r="N492" s="302"/>
      <c r="O492" s="665"/>
    </row>
    <row r="493" spans="1:15" hidden="1" x14ac:dyDescent="0.25">
      <c r="A493" s="334">
        <v>8270</v>
      </c>
      <c r="B493" s="335" t="s">
        <v>2128</v>
      </c>
      <c r="C493" s="311" t="s">
        <v>1810</v>
      </c>
      <c r="D493" s="311" t="s">
        <v>1810</v>
      </c>
      <c r="E493" s="311" t="s">
        <v>1810</v>
      </c>
      <c r="F493" s="299">
        <v>0</v>
      </c>
      <c r="G493" s="299">
        <v>0</v>
      </c>
      <c r="H493" s="299">
        <v>0</v>
      </c>
      <c r="I493" s="299">
        <v>0</v>
      </c>
      <c r="J493" s="299">
        <v>0</v>
      </c>
      <c r="K493" s="299">
        <v>0</v>
      </c>
      <c r="L493" s="299">
        <v>0</v>
      </c>
      <c r="M493" s="301"/>
      <c r="N493" s="302"/>
      <c r="O493" s="665"/>
    </row>
    <row r="494" spans="1:15" hidden="1" x14ac:dyDescent="0.25">
      <c r="A494" s="334">
        <v>8283</v>
      </c>
      <c r="B494" s="335" t="s">
        <v>2129</v>
      </c>
      <c r="C494" s="311" t="s">
        <v>1810</v>
      </c>
      <c r="D494" s="311" t="s">
        <v>1810</v>
      </c>
      <c r="E494" s="311" t="s">
        <v>1810</v>
      </c>
      <c r="F494" s="299">
        <v>0</v>
      </c>
      <c r="G494" s="299">
        <v>0</v>
      </c>
      <c r="H494" s="299">
        <v>0</v>
      </c>
      <c r="I494" s="299">
        <v>0</v>
      </c>
      <c r="J494" s="299">
        <v>0</v>
      </c>
      <c r="K494" s="299">
        <v>0</v>
      </c>
      <c r="L494" s="299">
        <v>0</v>
      </c>
      <c r="M494" s="301"/>
      <c r="N494" s="302"/>
      <c r="O494" s="665"/>
    </row>
    <row r="495" spans="1:15" hidden="1" x14ac:dyDescent="0.25">
      <c r="A495" s="334">
        <v>8297</v>
      </c>
      <c r="B495" s="335" t="s">
        <v>2130</v>
      </c>
      <c r="C495" s="311" t="s">
        <v>1810</v>
      </c>
      <c r="D495" s="311" t="s">
        <v>1810</v>
      </c>
      <c r="E495" s="311" t="s">
        <v>1810</v>
      </c>
      <c r="F495" s="299">
        <v>0</v>
      </c>
      <c r="G495" s="299">
        <v>0</v>
      </c>
      <c r="H495" s="299">
        <v>0</v>
      </c>
      <c r="I495" s="299">
        <v>0</v>
      </c>
      <c r="J495" s="299">
        <v>0</v>
      </c>
      <c r="K495" s="299">
        <v>0</v>
      </c>
      <c r="L495" s="299">
        <v>0</v>
      </c>
      <c r="M495" s="301"/>
      <c r="N495" s="302"/>
      <c r="O495" s="665"/>
    </row>
    <row r="496" spans="1:15" hidden="1" x14ac:dyDescent="0.25">
      <c r="A496" s="334">
        <v>8301</v>
      </c>
      <c r="B496" s="335" t="s">
        <v>2131</v>
      </c>
      <c r="C496" s="311" t="s">
        <v>1810</v>
      </c>
      <c r="D496" s="311" t="s">
        <v>1810</v>
      </c>
      <c r="E496" s="311" t="s">
        <v>1810</v>
      </c>
      <c r="F496" s="299">
        <v>0</v>
      </c>
      <c r="G496" s="299">
        <v>0</v>
      </c>
      <c r="H496" s="299">
        <v>0</v>
      </c>
      <c r="I496" s="299">
        <v>0</v>
      </c>
      <c r="J496" s="299">
        <v>0</v>
      </c>
      <c r="K496" s="299">
        <v>0</v>
      </c>
      <c r="L496" s="299">
        <v>0</v>
      </c>
      <c r="M496" s="301"/>
      <c r="N496" s="302"/>
      <c r="O496" s="665"/>
    </row>
    <row r="497" spans="1:15" hidden="1" x14ac:dyDescent="0.25">
      <c r="A497" s="334">
        <v>8302</v>
      </c>
      <c r="B497" s="335" t="s">
        <v>2132</v>
      </c>
      <c r="C497" s="311" t="s">
        <v>1810</v>
      </c>
      <c r="D497" s="311" t="s">
        <v>1810</v>
      </c>
      <c r="E497" s="311" t="s">
        <v>1810</v>
      </c>
      <c r="F497" s="299">
        <v>0</v>
      </c>
      <c r="G497" s="299">
        <v>0</v>
      </c>
      <c r="H497" s="299">
        <v>0</v>
      </c>
      <c r="I497" s="299">
        <v>0</v>
      </c>
      <c r="J497" s="299">
        <v>0</v>
      </c>
      <c r="K497" s="299">
        <v>0</v>
      </c>
      <c r="L497" s="299">
        <v>0</v>
      </c>
      <c r="M497" s="301"/>
      <c r="N497" s="302"/>
      <c r="O497" s="665"/>
    </row>
    <row r="498" spans="1:15" hidden="1" x14ac:dyDescent="0.25">
      <c r="A498" s="334">
        <v>8303</v>
      </c>
      <c r="B498" s="335" t="s">
        <v>2133</v>
      </c>
      <c r="C498" s="311" t="s">
        <v>1810</v>
      </c>
      <c r="D498" s="311" t="s">
        <v>1810</v>
      </c>
      <c r="E498" s="311" t="s">
        <v>1810</v>
      </c>
      <c r="F498" s="299">
        <v>0</v>
      </c>
      <c r="G498" s="299">
        <v>0</v>
      </c>
      <c r="H498" s="299">
        <v>0</v>
      </c>
      <c r="I498" s="299">
        <v>0</v>
      </c>
      <c r="J498" s="299">
        <v>0</v>
      </c>
      <c r="K498" s="299">
        <v>0</v>
      </c>
      <c r="L498" s="299">
        <v>0</v>
      </c>
      <c r="M498" s="301"/>
      <c r="N498" s="302"/>
      <c r="O498" s="665"/>
    </row>
    <row r="499" spans="1:15" hidden="1" x14ac:dyDescent="0.25">
      <c r="A499" s="334">
        <v>8304</v>
      </c>
      <c r="B499" s="335" t="s">
        <v>2134</v>
      </c>
      <c r="C499" s="311" t="s">
        <v>1810</v>
      </c>
      <c r="D499" s="311" t="s">
        <v>1810</v>
      </c>
      <c r="E499" s="311" t="s">
        <v>1810</v>
      </c>
      <c r="F499" s="299">
        <v>0</v>
      </c>
      <c r="G499" s="299">
        <v>0</v>
      </c>
      <c r="H499" s="299">
        <v>0</v>
      </c>
      <c r="I499" s="299">
        <v>0</v>
      </c>
      <c r="J499" s="299">
        <v>0</v>
      </c>
      <c r="K499" s="299">
        <v>0</v>
      </c>
      <c r="L499" s="299">
        <v>0</v>
      </c>
      <c r="M499" s="301"/>
      <c r="N499" s="302"/>
      <c r="O499" s="665"/>
    </row>
    <row r="500" spans="1:15" hidden="1" x14ac:dyDescent="0.25">
      <c r="A500" s="334">
        <v>8305</v>
      </c>
      <c r="B500" s="335" t="s">
        <v>2135</v>
      </c>
      <c r="C500" s="311" t="s">
        <v>1810</v>
      </c>
      <c r="D500" s="311" t="s">
        <v>1810</v>
      </c>
      <c r="E500" s="311" t="s">
        <v>1810</v>
      </c>
      <c r="F500" s="299">
        <v>0</v>
      </c>
      <c r="G500" s="299">
        <v>0</v>
      </c>
      <c r="H500" s="299">
        <v>0</v>
      </c>
      <c r="I500" s="299">
        <v>0</v>
      </c>
      <c r="J500" s="299">
        <v>0</v>
      </c>
      <c r="K500" s="299">
        <v>0</v>
      </c>
      <c r="L500" s="299">
        <v>0</v>
      </c>
      <c r="M500" s="301"/>
      <c r="N500" s="302"/>
      <c r="O500" s="665"/>
    </row>
    <row r="501" spans="1:15" hidden="1" x14ac:dyDescent="0.25">
      <c r="A501" s="334">
        <v>8306</v>
      </c>
      <c r="B501" s="335" t="s">
        <v>2136</v>
      </c>
      <c r="C501" s="311" t="s">
        <v>1810</v>
      </c>
      <c r="D501" s="311" t="s">
        <v>1810</v>
      </c>
      <c r="E501" s="311" t="s">
        <v>1810</v>
      </c>
      <c r="F501" s="299">
        <v>0</v>
      </c>
      <c r="G501" s="299">
        <v>0</v>
      </c>
      <c r="H501" s="299">
        <v>0</v>
      </c>
      <c r="I501" s="299">
        <v>0</v>
      </c>
      <c r="J501" s="299">
        <v>0</v>
      </c>
      <c r="K501" s="299">
        <v>0</v>
      </c>
      <c r="L501" s="299">
        <v>0</v>
      </c>
      <c r="M501" s="301"/>
      <c r="N501" s="302"/>
      <c r="O501" s="665"/>
    </row>
    <row r="502" spans="1:15" hidden="1" x14ac:dyDescent="0.25">
      <c r="A502" s="334">
        <v>8308</v>
      </c>
      <c r="B502" s="335" t="s">
        <v>2137</v>
      </c>
      <c r="C502" s="311" t="s">
        <v>1810</v>
      </c>
      <c r="D502" s="311" t="s">
        <v>1810</v>
      </c>
      <c r="E502" s="311" t="s">
        <v>1810</v>
      </c>
      <c r="F502" s="299">
        <v>0</v>
      </c>
      <c r="G502" s="299">
        <v>0</v>
      </c>
      <c r="H502" s="299">
        <v>0</v>
      </c>
      <c r="I502" s="299">
        <v>0</v>
      </c>
      <c r="J502" s="299">
        <v>0</v>
      </c>
      <c r="K502" s="299">
        <v>0</v>
      </c>
      <c r="L502" s="299">
        <v>0</v>
      </c>
      <c r="M502" s="301"/>
      <c r="N502" s="302"/>
      <c r="O502" s="665"/>
    </row>
    <row r="503" spans="1:15" hidden="1" x14ac:dyDescent="0.25">
      <c r="A503" s="334">
        <v>8310</v>
      </c>
      <c r="B503" s="335" t="s">
        <v>2138</v>
      </c>
      <c r="C503" s="311" t="s">
        <v>1810</v>
      </c>
      <c r="D503" s="311" t="s">
        <v>1810</v>
      </c>
      <c r="E503" s="311" t="s">
        <v>1810</v>
      </c>
      <c r="F503" s="299">
        <v>0</v>
      </c>
      <c r="G503" s="299">
        <v>0</v>
      </c>
      <c r="H503" s="299">
        <v>0</v>
      </c>
      <c r="I503" s="299">
        <v>0</v>
      </c>
      <c r="J503" s="299">
        <v>0</v>
      </c>
      <c r="K503" s="299">
        <v>0</v>
      </c>
      <c r="L503" s="299">
        <v>0</v>
      </c>
      <c r="M503" s="301"/>
      <c r="N503" s="302"/>
      <c r="O503" s="665"/>
    </row>
    <row r="504" spans="1:15" hidden="1" x14ac:dyDescent="0.25">
      <c r="A504" s="334">
        <v>8311</v>
      </c>
      <c r="B504" s="335" t="s">
        <v>2139</v>
      </c>
      <c r="C504" s="311" t="s">
        <v>1810</v>
      </c>
      <c r="D504" s="311" t="s">
        <v>1810</v>
      </c>
      <c r="E504" s="311" t="s">
        <v>1810</v>
      </c>
      <c r="F504" s="299">
        <v>0</v>
      </c>
      <c r="G504" s="299">
        <v>0</v>
      </c>
      <c r="H504" s="299">
        <v>0</v>
      </c>
      <c r="I504" s="299">
        <v>0</v>
      </c>
      <c r="J504" s="299">
        <v>0</v>
      </c>
      <c r="K504" s="299">
        <v>0</v>
      </c>
      <c r="L504" s="299">
        <v>0</v>
      </c>
      <c r="M504" s="301"/>
      <c r="N504" s="302"/>
      <c r="O504" s="665"/>
    </row>
    <row r="505" spans="1:15" hidden="1" x14ac:dyDescent="0.25">
      <c r="A505" s="334">
        <v>8312</v>
      </c>
      <c r="B505" s="335" t="s">
        <v>2140</v>
      </c>
      <c r="C505" s="311" t="s">
        <v>1810</v>
      </c>
      <c r="D505" s="311" t="s">
        <v>1810</v>
      </c>
      <c r="E505" s="311" t="s">
        <v>1810</v>
      </c>
      <c r="F505" s="299">
        <v>0</v>
      </c>
      <c r="G505" s="299">
        <v>0</v>
      </c>
      <c r="H505" s="299">
        <v>0</v>
      </c>
      <c r="I505" s="299">
        <v>0</v>
      </c>
      <c r="J505" s="299">
        <v>0</v>
      </c>
      <c r="K505" s="299">
        <v>0</v>
      </c>
      <c r="L505" s="299">
        <v>0</v>
      </c>
      <c r="M505" s="301"/>
      <c r="N505" s="302"/>
      <c r="O505" s="665"/>
    </row>
    <row r="506" spans="1:15" hidden="1" x14ac:dyDescent="0.25">
      <c r="A506" s="334">
        <v>8314</v>
      </c>
      <c r="B506" s="335" t="s">
        <v>2141</v>
      </c>
      <c r="C506" s="311" t="s">
        <v>1810</v>
      </c>
      <c r="D506" s="311" t="s">
        <v>1810</v>
      </c>
      <c r="E506" s="311" t="s">
        <v>1810</v>
      </c>
      <c r="F506" s="299">
        <v>0</v>
      </c>
      <c r="G506" s="299">
        <v>0</v>
      </c>
      <c r="H506" s="299">
        <v>0</v>
      </c>
      <c r="I506" s="299">
        <v>0</v>
      </c>
      <c r="J506" s="299">
        <v>0</v>
      </c>
      <c r="K506" s="299">
        <v>0</v>
      </c>
      <c r="L506" s="299">
        <v>0</v>
      </c>
      <c r="M506" s="301"/>
      <c r="N506" s="302"/>
      <c r="O506" s="665"/>
    </row>
    <row r="507" spans="1:15" hidden="1" x14ac:dyDescent="0.25">
      <c r="A507" s="334">
        <v>8320</v>
      </c>
      <c r="B507" s="335" t="s">
        <v>2142</v>
      </c>
      <c r="C507" s="311" t="s">
        <v>1810</v>
      </c>
      <c r="D507" s="311" t="s">
        <v>1810</v>
      </c>
      <c r="E507" s="311" t="s">
        <v>1810</v>
      </c>
      <c r="F507" s="299">
        <v>0</v>
      </c>
      <c r="G507" s="299">
        <v>0</v>
      </c>
      <c r="H507" s="299">
        <v>0</v>
      </c>
      <c r="I507" s="299">
        <v>0</v>
      </c>
      <c r="J507" s="299">
        <v>0</v>
      </c>
      <c r="K507" s="299">
        <v>0</v>
      </c>
      <c r="L507" s="299">
        <v>0</v>
      </c>
      <c r="M507" s="301"/>
      <c r="N507" s="302"/>
      <c r="O507" s="665"/>
    </row>
    <row r="508" spans="1:15" hidden="1" x14ac:dyDescent="0.25">
      <c r="A508" s="334">
        <v>8321</v>
      </c>
      <c r="B508" s="335" t="s">
        <v>2143</v>
      </c>
      <c r="C508" s="311" t="s">
        <v>1810</v>
      </c>
      <c r="D508" s="311" t="s">
        <v>1810</v>
      </c>
      <c r="E508" s="311" t="s">
        <v>1810</v>
      </c>
      <c r="F508" s="299">
        <v>0</v>
      </c>
      <c r="G508" s="299">
        <v>0</v>
      </c>
      <c r="H508" s="299">
        <v>0</v>
      </c>
      <c r="I508" s="299">
        <v>0</v>
      </c>
      <c r="J508" s="299">
        <v>0</v>
      </c>
      <c r="K508" s="299">
        <v>0</v>
      </c>
      <c r="L508" s="299">
        <v>0</v>
      </c>
      <c r="M508" s="301"/>
      <c r="N508" s="302"/>
      <c r="O508" s="665"/>
    </row>
    <row r="509" spans="1:15" hidden="1" x14ac:dyDescent="0.25">
      <c r="A509" s="334">
        <v>8322</v>
      </c>
      <c r="B509" s="335" t="s">
        <v>2144</v>
      </c>
      <c r="C509" s="311" t="s">
        <v>1810</v>
      </c>
      <c r="D509" s="311" t="s">
        <v>1810</v>
      </c>
      <c r="E509" s="311" t="s">
        <v>1810</v>
      </c>
      <c r="F509" s="299">
        <v>0</v>
      </c>
      <c r="G509" s="299">
        <v>0</v>
      </c>
      <c r="H509" s="299">
        <v>0</v>
      </c>
      <c r="I509" s="299">
        <v>0</v>
      </c>
      <c r="J509" s="299">
        <v>0</v>
      </c>
      <c r="K509" s="299">
        <v>0</v>
      </c>
      <c r="L509" s="299">
        <v>0</v>
      </c>
      <c r="M509" s="301"/>
      <c r="N509" s="302"/>
      <c r="O509" s="665"/>
    </row>
    <row r="510" spans="1:15" hidden="1" x14ac:dyDescent="0.25">
      <c r="A510" s="334">
        <v>8323</v>
      </c>
      <c r="B510" s="335" t="s">
        <v>2145</v>
      </c>
      <c r="C510" s="311" t="s">
        <v>1810</v>
      </c>
      <c r="D510" s="311" t="s">
        <v>1810</v>
      </c>
      <c r="E510" s="311" t="s">
        <v>1810</v>
      </c>
      <c r="F510" s="299">
        <v>0</v>
      </c>
      <c r="G510" s="299">
        <v>0</v>
      </c>
      <c r="H510" s="299">
        <v>0</v>
      </c>
      <c r="I510" s="299">
        <v>0</v>
      </c>
      <c r="J510" s="299">
        <v>0</v>
      </c>
      <c r="K510" s="299">
        <v>0</v>
      </c>
      <c r="L510" s="299">
        <v>0</v>
      </c>
      <c r="M510" s="301"/>
      <c r="N510" s="302"/>
      <c r="O510" s="665"/>
    </row>
    <row r="511" spans="1:15" hidden="1" x14ac:dyDescent="0.25">
      <c r="A511" s="334">
        <v>8324</v>
      </c>
      <c r="B511" s="335" t="s">
        <v>2146</v>
      </c>
      <c r="C511" s="311" t="s">
        <v>1810</v>
      </c>
      <c r="D511" s="311" t="s">
        <v>1810</v>
      </c>
      <c r="E511" s="311" t="s">
        <v>1810</v>
      </c>
      <c r="F511" s="299">
        <v>0</v>
      </c>
      <c r="G511" s="299">
        <v>0</v>
      </c>
      <c r="H511" s="299">
        <v>0</v>
      </c>
      <c r="I511" s="299">
        <v>0</v>
      </c>
      <c r="J511" s="299">
        <v>0</v>
      </c>
      <c r="K511" s="299">
        <v>0</v>
      </c>
      <c r="L511" s="299">
        <v>0</v>
      </c>
      <c r="M511" s="301"/>
      <c r="N511" s="302"/>
      <c r="O511" s="665"/>
    </row>
    <row r="512" spans="1:15" hidden="1" x14ac:dyDescent="0.25">
      <c r="A512" s="334">
        <v>8325</v>
      </c>
      <c r="B512" s="335" t="s">
        <v>2147</v>
      </c>
      <c r="C512" s="311" t="s">
        <v>1810</v>
      </c>
      <c r="D512" s="311" t="s">
        <v>1810</v>
      </c>
      <c r="E512" s="311" t="s">
        <v>1810</v>
      </c>
      <c r="F512" s="299">
        <v>0</v>
      </c>
      <c r="G512" s="299">
        <v>0</v>
      </c>
      <c r="H512" s="299">
        <v>0</v>
      </c>
      <c r="I512" s="299">
        <v>0</v>
      </c>
      <c r="J512" s="299">
        <v>0</v>
      </c>
      <c r="K512" s="299">
        <v>0</v>
      </c>
      <c r="L512" s="299">
        <v>0</v>
      </c>
      <c r="M512" s="301"/>
      <c r="N512" s="302"/>
      <c r="O512" s="665"/>
    </row>
    <row r="513" spans="1:15" hidden="1" x14ac:dyDescent="0.25">
      <c r="A513" s="334">
        <v>8326</v>
      </c>
      <c r="B513" s="335" t="s">
        <v>2148</v>
      </c>
      <c r="C513" s="311" t="s">
        <v>1810</v>
      </c>
      <c r="D513" s="311" t="s">
        <v>1810</v>
      </c>
      <c r="E513" s="311" t="s">
        <v>1810</v>
      </c>
      <c r="F513" s="299">
        <v>0</v>
      </c>
      <c r="G513" s="299">
        <v>0</v>
      </c>
      <c r="H513" s="299">
        <v>0</v>
      </c>
      <c r="I513" s="299">
        <v>0</v>
      </c>
      <c r="J513" s="299">
        <v>0</v>
      </c>
      <c r="K513" s="299">
        <v>0</v>
      </c>
      <c r="L513" s="299">
        <v>0</v>
      </c>
      <c r="M513" s="301"/>
      <c r="N513" s="302"/>
      <c r="O513" s="665"/>
    </row>
    <row r="514" spans="1:15" hidden="1" x14ac:dyDescent="0.25">
      <c r="A514" s="334">
        <v>8327</v>
      </c>
      <c r="B514" s="335" t="s">
        <v>2149</v>
      </c>
      <c r="C514" s="311" t="s">
        <v>1810</v>
      </c>
      <c r="D514" s="311" t="s">
        <v>1810</v>
      </c>
      <c r="E514" s="311" t="s">
        <v>1810</v>
      </c>
      <c r="F514" s="299">
        <v>0</v>
      </c>
      <c r="G514" s="299">
        <v>0</v>
      </c>
      <c r="H514" s="299">
        <v>0</v>
      </c>
      <c r="I514" s="299">
        <v>0</v>
      </c>
      <c r="J514" s="299">
        <v>0</v>
      </c>
      <c r="K514" s="299">
        <v>0</v>
      </c>
      <c r="L514" s="299">
        <v>0</v>
      </c>
      <c r="M514" s="301"/>
      <c r="N514" s="302"/>
      <c r="O514" s="665"/>
    </row>
    <row r="515" spans="1:15" hidden="1" x14ac:dyDescent="0.25">
      <c r="A515" s="334">
        <v>8340</v>
      </c>
      <c r="B515" s="335" t="s">
        <v>2150</v>
      </c>
      <c r="C515" s="311" t="s">
        <v>1810</v>
      </c>
      <c r="D515" s="311" t="s">
        <v>1810</v>
      </c>
      <c r="E515" s="311" t="s">
        <v>1810</v>
      </c>
      <c r="F515" s="299">
        <v>0</v>
      </c>
      <c r="G515" s="299">
        <v>0</v>
      </c>
      <c r="H515" s="299">
        <v>0</v>
      </c>
      <c r="I515" s="299">
        <v>0</v>
      </c>
      <c r="J515" s="299">
        <v>0</v>
      </c>
      <c r="K515" s="299">
        <v>0</v>
      </c>
      <c r="L515" s="299">
        <v>0</v>
      </c>
      <c r="M515" s="301"/>
      <c r="N515" s="302"/>
      <c r="O515" s="665"/>
    </row>
    <row r="516" spans="1:15" hidden="1" x14ac:dyDescent="0.25">
      <c r="A516" s="334">
        <v>8342</v>
      </c>
      <c r="B516" s="335" t="s">
        <v>2151</v>
      </c>
      <c r="C516" s="311" t="s">
        <v>1810</v>
      </c>
      <c r="D516" s="311" t="s">
        <v>1810</v>
      </c>
      <c r="E516" s="311" t="s">
        <v>1810</v>
      </c>
      <c r="F516" s="299">
        <v>0</v>
      </c>
      <c r="G516" s="299">
        <v>0</v>
      </c>
      <c r="H516" s="299">
        <v>0</v>
      </c>
      <c r="I516" s="299">
        <v>0</v>
      </c>
      <c r="J516" s="299">
        <v>0</v>
      </c>
      <c r="K516" s="299">
        <v>0</v>
      </c>
      <c r="L516" s="299">
        <v>0</v>
      </c>
      <c r="M516" s="301"/>
      <c r="N516" s="302"/>
      <c r="O516" s="665"/>
    </row>
    <row r="517" spans="1:15" hidden="1" x14ac:dyDescent="0.25">
      <c r="A517" s="334">
        <v>8343</v>
      </c>
      <c r="B517" s="335" t="s">
        <v>2152</v>
      </c>
      <c r="C517" s="311" t="s">
        <v>1810</v>
      </c>
      <c r="D517" s="311" t="s">
        <v>1810</v>
      </c>
      <c r="E517" s="311" t="s">
        <v>1810</v>
      </c>
      <c r="F517" s="299">
        <v>0</v>
      </c>
      <c r="G517" s="299">
        <v>0</v>
      </c>
      <c r="H517" s="299">
        <v>0</v>
      </c>
      <c r="I517" s="299">
        <v>0</v>
      </c>
      <c r="J517" s="299">
        <v>0</v>
      </c>
      <c r="K517" s="299">
        <v>0</v>
      </c>
      <c r="L517" s="299">
        <v>0</v>
      </c>
      <c r="M517" s="301"/>
      <c r="N517" s="302"/>
      <c r="O517" s="665"/>
    </row>
    <row r="518" spans="1:15" hidden="1" x14ac:dyDescent="0.25">
      <c r="A518" s="334">
        <v>8344</v>
      </c>
      <c r="B518" s="335" t="s">
        <v>2153</v>
      </c>
      <c r="C518" s="311" t="s">
        <v>1810</v>
      </c>
      <c r="D518" s="311" t="s">
        <v>1810</v>
      </c>
      <c r="E518" s="311" t="s">
        <v>1810</v>
      </c>
      <c r="F518" s="299">
        <v>0</v>
      </c>
      <c r="G518" s="299">
        <v>0</v>
      </c>
      <c r="H518" s="299">
        <v>0</v>
      </c>
      <c r="I518" s="299">
        <v>0</v>
      </c>
      <c r="J518" s="299">
        <v>0</v>
      </c>
      <c r="K518" s="299">
        <v>0</v>
      </c>
      <c r="L518" s="299">
        <v>0</v>
      </c>
      <c r="M518" s="301"/>
      <c r="N518" s="302"/>
      <c r="O518" s="665"/>
    </row>
    <row r="519" spans="1:15" hidden="1" x14ac:dyDescent="0.25">
      <c r="A519" s="334">
        <v>8345</v>
      </c>
      <c r="B519" s="335" t="s">
        <v>2154</v>
      </c>
      <c r="C519" s="311" t="s">
        <v>1810</v>
      </c>
      <c r="D519" s="311" t="s">
        <v>1810</v>
      </c>
      <c r="E519" s="311" t="s">
        <v>1810</v>
      </c>
      <c r="F519" s="299">
        <v>0</v>
      </c>
      <c r="G519" s="299">
        <v>0</v>
      </c>
      <c r="H519" s="299">
        <v>0</v>
      </c>
      <c r="I519" s="299">
        <v>0</v>
      </c>
      <c r="J519" s="299">
        <v>0</v>
      </c>
      <c r="K519" s="299">
        <v>0</v>
      </c>
      <c r="L519" s="299">
        <v>0</v>
      </c>
      <c r="M519" s="301"/>
      <c r="N519" s="302"/>
      <c r="O519" s="665"/>
    </row>
    <row r="520" spans="1:15" hidden="1" x14ac:dyDescent="0.25">
      <c r="A520" s="334">
        <v>8347</v>
      </c>
      <c r="B520" s="335" t="s">
        <v>2155</v>
      </c>
      <c r="C520" s="311" t="s">
        <v>1810</v>
      </c>
      <c r="D520" s="311" t="s">
        <v>1810</v>
      </c>
      <c r="E520" s="311" t="s">
        <v>1810</v>
      </c>
      <c r="F520" s="299">
        <v>0</v>
      </c>
      <c r="G520" s="299">
        <v>0</v>
      </c>
      <c r="H520" s="299">
        <v>0</v>
      </c>
      <c r="I520" s="299">
        <v>0</v>
      </c>
      <c r="J520" s="299">
        <v>0</v>
      </c>
      <c r="K520" s="299">
        <v>0</v>
      </c>
      <c r="L520" s="299">
        <v>0</v>
      </c>
      <c r="M520" s="301"/>
      <c r="N520" s="302"/>
      <c r="O520" s="665"/>
    </row>
    <row r="521" spans="1:15" hidden="1" x14ac:dyDescent="0.25">
      <c r="A521" s="334">
        <v>8348</v>
      </c>
      <c r="B521" s="335" t="s">
        <v>844</v>
      </c>
      <c r="C521" s="311" t="s">
        <v>1810</v>
      </c>
      <c r="D521" s="311" t="s">
        <v>1810</v>
      </c>
      <c r="E521" s="311" t="s">
        <v>1810</v>
      </c>
      <c r="F521" s="299">
        <v>0</v>
      </c>
      <c r="G521" s="299">
        <v>0</v>
      </c>
      <c r="H521" s="299">
        <v>0</v>
      </c>
      <c r="I521" s="299">
        <v>815.97</v>
      </c>
      <c r="J521" s="299">
        <v>0</v>
      </c>
      <c r="K521" s="299">
        <v>0</v>
      </c>
      <c r="L521" s="299">
        <v>816</v>
      </c>
      <c r="M521" s="301"/>
      <c r="N521" s="302"/>
      <c r="O521" s="665"/>
    </row>
    <row r="522" spans="1:15" hidden="1" x14ac:dyDescent="0.25">
      <c r="A522" s="334">
        <v>8351</v>
      </c>
      <c r="B522" s="335" t="s">
        <v>2156</v>
      </c>
      <c r="C522" s="311" t="s">
        <v>1810</v>
      </c>
      <c r="D522" s="311" t="s">
        <v>1810</v>
      </c>
      <c r="E522" s="311" t="s">
        <v>1810</v>
      </c>
      <c r="F522" s="299">
        <v>0</v>
      </c>
      <c r="G522" s="299">
        <v>0</v>
      </c>
      <c r="H522" s="299">
        <v>0</v>
      </c>
      <c r="I522" s="299">
        <v>0</v>
      </c>
      <c r="J522" s="299">
        <v>0</v>
      </c>
      <c r="K522" s="299">
        <v>0</v>
      </c>
      <c r="L522" s="299">
        <v>0</v>
      </c>
      <c r="M522" s="301"/>
      <c r="N522" s="302"/>
      <c r="O522" s="665"/>
    </row>
    <row r="523" spans="1:15" hidden="1" x14ac:dyDescent="0.25">
      <c r="A523" s="334">
        <v>8353</v>
      </c>
      <c r="B523" s="335" t="s">
        <v>2157</v>
      </c>
      <c r="C523" s="311" t="s">
        <v>1810</v>
      </c>
      <c r="D523" s="311" t="s">
        <v>1810</v>
      </c>
      <c r="E523" s="311" t="s">
        <v>1810</v>
      </c>
      <c r="F523" s="299">
        <v>0</v>
      </c>
      <c r="G523" s="299">
        <v>0</v>
      </c>
      <c r="H523" s="299">
        <v>0</v>
      </c>
      <c r="I523" s="299">
        <v>0</v>
      </c>
      <c r="J523" s="299">
        <v>0</v>
      </c>
      <c r="K523" s="299">
        <v>0</v>
      </c>
      <c r="L523" s="299">
        <v>0</v>
      </c>
      <c r="M523" s="301"/>
      <c r="N523" s="302"/>
      <c r="O523" s="665"/>
    </row>
    <row r="524" spans="1:15" hidden="1" x14ac:dyDescent="0.25">
      <c r="A524" s="334">
        <v>8354</v>
      </c>
      <c r="B524" s="335" t="s">
        <v>2158</v>
      </c>
      <c r="C524" s="311" t="s">
        <v>1810</v>
      </c>
      <c r="D524" s="311" t="s">
        <v>1810</v>
      </c>
      <c r="E524" s="311" t="s">
        <v>1810</v>
      </c>
      <c r="F524" s="299">
        <v>0</v>
      </c>
      <c r="G524" s="299">
        <v>0</v>
      </c>
      <c r="H524" s="299">
        <v>0</v>
      </c>
      <c r="I524" s="299">
        <v>0</v>
      </c>
      <c r="J524" s="299">
        <v>0</v>
      </c>
      <c r="K524" s="299">
        <v>0</v>
      </c>
      <c r="L524" s="299">
        <v>0</v>
      </c>
      <c r="M524" s="301"/>
      <c r="N524" s="302"/>
      <c r="O524" s="665"/>
    </row>
    <row r="525" spans="1:15" hidden="1" x14ac:dyDescent="0.25">
      <c r="A525" s="334">
        <v>8357</v>
      </c>
      <c r="B525" s="335" t="s">
        <v>2159</v>
      </c>
      <c r="C525" s="311" t="s">
        <v>1810</v>
      </c>
      <c r="D525" s="311" t="s">
        <v>1810</v>
      </c>
      <c r="E525" s="311" t="s">
        <v>1810</v>
      </c>
      <c r="F525" s="299">
        <v>0</v>
      </c>
      <c r="G525" s="299">
        <v>0</v>
      </c>
      <c r="H525" s="299">
        <v>0</v>
      </c>
      <c r="I525" s="299">
        <v>0</v>
      </c>
      <c r="J525" s="299">
        <v>0</v>
      </c>
      <c r="K525" s="299">
        <v>0</v>
      </c>
      <c r="L525" s="299">
        <v>0</v>
      </c>
      <c r="M525" s="301"/>
      <c r="N525" s="302"/>
      <c r="O525" s="665"/>
    </row>
    <row r="526" spans="1:15" hidden="1" x14ac:dyDescent="0.25">
      <c r="A526" s="334">
        <v>8359</v>
      </c>
      <c r="B526" s="335" t="s">
        <v>2160</v>
      </c>
      <c r="C526" s="311" t="s">
        <v>1810</v>
      </c>
      <c r="D526" s="311" t="s">
        <v>1810</v>
      </c>
      <c r="E526" s="311" t="s">
        <v>1810</v>
      </c>
      <c r="F526" s="299">
        <v>0</v>
      </c>
      <c r="G526" s="299">
        <v>0</v>
      </c>
      <c r="H526" s="299">
        <v>0</v>
      </c>
      <c r="I526" s="299">
        <v>0</v>
      </c>
      <c r="J526" s="299">
        <v>0</v>
      </c>
      <c r="K526" s="299">
        <v>0</v>
      </c>
      <c r="L526" s="299">
        <v>0</v>
      </c>
      <c r="M526" s="301"/>
      <c r="N526" s="302"/>
      <c r="O526" s="665"/>
    </row>
    <row r="527" spans="1:15" hidden="1" x14ac:dyDescent="0.25">
      <c r="A527" s="334">
        <v>8361</v>
      </c>
      <c r="B527" s="335" t="s">
        <v>2161</v>
      </c>
      <c r="C527" s="311" t="s">
        <v>1810</v>
      </c>
      <c r="D527" s="311" t="s">
        <v>1810</v>
      </c>
      <c r="E527" s="311" t="s">
        <v>1810</v>
      </c>
      <c r="F527" s="299">
        <v>0</v>
      </c>
      <c r="G527" s="299">
        <v>0</v>
      </c>
      <c r="H527" s="299">
        <v>0</v>
      </c>
      <c r="I527" s="299">
        <v>0</v>
      </c>
      <c r="J527" s="299">
        <v>0</v>
      </c>
      <c r="K527" s="299">
        <v>0</v>
      </c>
      <c r="L527" s="299">
        <v>0</v>
      </c>
      <c r="M527" s="301"/>
      <c r="N527" s="302"/>
      <c r="O527" s="665"/>
    </row>
    <row r="528" spans="1:15" hidden="1" x14ac:dyDescent="0.25">
      <c r="A528" s="334">
        <v>8362</v>
      </c>
      <c r="B528" s="335" t="s">
        <v>2162</v>
      </c>
      <c r="C528" s="311" t="s">
        <v>1810</v>
      </c>
      <c r="D528" s="311" t="s">
        <v>1810</v>
      </c>
      <c r="E528" s="311" t="s">
        <v>1810</v>
      </c>
      <c r="F528" s="299">
        <v>0</v>
      </c>
      <c r="G528" s="299">
        <v>0</v>
      </c>
      <c r="H528" s="299">
        <v>0</v>
      </c>
      <c r="I528" s="299">
        <v>0</v>
      </c>
      <c r="J528" s="299">
        <v>0</v>
      </c>
      <c r="K528" s="299">
        <v>0</v>
      </c>
      <c r="L528" s="299">
        <v>0</v>
      </c>
      <c r="M528" s="301"/>
      <c r="N528" s="302"/>
      <c r="O528" s="665"/>
    </row>
    <row r="529" spans="1:15" hidden="1" x14ac:dyDescent="0.25">
      <c r="A529" s="334">
        <v>8504</v>
      </c>
      <c r="B529" s="335" t="s">
        <v>2163</v>
      </c>
      <c r="C529" s="311" t="s">
        <v>1810</v>
      </c>
      <c r="D529" s="311" t="s">
        <v>1810</v>
      </c>
      <c r="E529" s="311" t="s">
        <v>1810</v>
      </c>
      <c r="F529" s="299">
        <v>0</v>
      </c>
      <c r="G529" s="299">
        <v>0</v>
      </c>
      <c r="H529" s="299">
        <v>0</v>
      </c>
      <c r="I529" s="299">
        <v>0</v>
      </c>
      <c r="J529" s="299">
        <v>0</v>
      </c>
      <c r="K529" s="299">
        <v>0</v>
      </c>
      <c r="L529" s="299">
        <v>0</v>
      </c>
      <c r="M529" s="301"/>
      <c r="N529" s="302"/>
      <c r="O529" s="665"/>
    </row>
    <row r="530" spans="1:15" hidden="1" x14ac:dyDescent="0.25">
      <c r="A530" s="334">
        <v>8509</v>
      </c>
      <c r="B530" s="335" t="s">
        <v>2164</v>
      </c>
      <c r="C530" s="311" t="s">
        <v>1810</v>
      </c>
      <c r="D530" s="311" t="s">
        <v>1810</v>
      </c>
      <c r="E530" s="311" t="s">
        <v>1810</v>
      </c>
      <c r="F530" s="299">
        <v>0</v>
      </c>
      <c r="G530" s="299">
        <v>0</v>
      </c>
      <c r="H530" s="299">
        <v>0</v>
      </c>
      <c r="I530" s="299">
        <v>0</v>
      </c>
      <c r="J530" s="299">
        <v>0</v>
      </c>
      <c r="K530" s="299">
        <v>0</v>
      </c>
      <c r="L530" s="299">
        <v>0</v>
      </c>
      <c r="M530" s="301"/>
      <c r="N530" s="302"/>
      <c r="O530" s="665"/>
    </row>
    <row r="531" spans="1:15" hidden="1" x14ac:dyDescent="0.25">
      <c r="A531" s="334">
        <v>8558</v>
      </c>
      <c r="B531" s="335" t="s">
        <v>2165</v>
      </c>
      <c r="C531" s="311" t="s">
        <v>1810</v>
      </c>
      <c r="D531" s="311" t="s">
        <v>1810</v>
      </c>
      <c r="E531" s="311" t="s">
        <v>1810</v>
      </c>
      <c r="F531" s="299">
        <v>0</v>
      </c>
      <c r="G531" s="299">
        <v>0</v>
      </c>
      <c r="H531" s="299">
        <v>0</v>
      </c>
      <c r="I531" s="299">
        <v>0</v>
      </c>
      <c r="J531" s="299">
        <v>0</v>
      </c>
      <c r="K531" s="299">
        <v>0</v>
      </c>
      <c r="L531" s="299">
        <v>0</v>
      </c>
      <c r="M531" s="301"/>
      <c r="N531" s="302"/>
      <c r="O531" s="665"/>
    </row>
    <row r="532" spans="1:15" hidden="1" x14ac:dyDescent="0.25">
      <c r="A532" s="334">
        <v>8810</v>
      </c>
      <c r="B532" s="335" t="s">
        <v>2166</v>
      </c>
      <c r="C532" s="311" t="s">
        <v>1810</v>
      </c>
      <c r="D532" s="311" t="s">
        <v>1810</v>
      </c>
      <c r="E532" s="311" t="s">
        <v>1810</v>
      </c>
      <c r="F532" s="299">
        <v>0</v>
      </c>
      <c r="G532" s="299">
        <v>0</v>
      </c>
      <c r="H532" s="299">
        <v>0</v>
      </c>
      <c r="I532" s="299">
        <v>0</v>
      </c>
      <c r="J532" s="299">
        <v>0</v>
      </c>
      <c r="K532" s="299">
        <v>0</v>
      </c>
      <c r="L532" s="299">
        <v>0</v>
      </c>
      <c r="M532" s="301"/>
      <c r="N532" s="302"/>
      <c r="O532" s="665"/>
    </row>
    <row r="533" spans="1:15" hidden="1" x14ac:dyDescent="0.25">
      <c r="A533" s="334">
        <v>8932</v>
      </c>
      <c r="B533" s="335" t="s">
        <v>2167</v>
      </c>
      <c r="C533" s="311" t="s">
        <v>1810</v>
      </c>
      <c r="D533" s="311" t="s">
        <v>1810</v>
      </c>
      <c r="E533" s="311" t="s">
        <v>1810</v>
      </c>
      <c r="F533" s="299">
        <v>0</v>
      </c>
      <c r="G533" s="299">
        <v>0</v>
      </c>
      <c r="H533" s="299">
        <v>0</v>
      </c>
      <c r="I533" s="299">
        <v>0</v>
      </c>
      <c r="J533" s="299">
        <v>0</v>
      </c>
      <c r="K533" s="299">
        <v>0</v>
      </c>
      <c r="L533" s="299">
        <v>0</v>
      </c>
      <c r="M533" s="301"/>
      <c r="N533" s="302"/>
      <c r="O533" s="665"/>
    </row>
    <row r="534" spans="1:15" hidden="1" x14ac:dyDescent="0.25">
      <c r="A534" s="334">
        <v>8950</v>
      </c>
      <c r="B534" s="335" t="s">
        <v>2168</v>
      </c>
      <c r="C534" s="311" t="s">
        <v>1810</v>
      </c>
      <c r="D534" s="311" t="s">
        <v>1810</v>
      </c>
      <c r="E534" s="311" t="s">
        <v>1810</v>
      </c>
      <c r="F534" s="299">
        <v>0</v>
      </c>
      <c r="G534" s="299">
        <v>0</v>
      </c>
      <c r="H534" s="299">
        <v>0</v>
      </c>
      <c r="I534" s="299">
        <v>0</v>
      </c>
      <c r="J534" s="299">
        <v>0</v>
      </c>
      <c r="K534" s="299">
        <v>0</v>
      </c>
      <c r="L534" s="299">
        <v>0</v>
      </c>
      <c r="M534" s="297"/>
      <c r="N534" s="329"/>
      <c r="O534" s="668"/>
    </row>
    <row r="535" spans="1:15" hidden="1" x14ac:dyDescent="0.25">
      <c r="A535" s="334">
        <v>8954</v>
      </c>
      <c r="B535" s="335" t="s">
        <v>2169</v>
      </c>
      <c r="C535" s="311" t="s">
        <v>1810</v>
      </c>
      <c r="D535" s="311" t="s">
        <v>1810</v>
      </c>
      <c r="E535" s="311" t="s">
        <v>1810</v>
      </c>
      <c r="F535" s="299">
        <v>0</v>
      </c>
      <c r="G535" s="299">
        <v>0</v>
      </c>
      <c r="H535" s="299">
        <v>0</v>
      </c>
      <c r="I535" s="299">
        <v>0</v>
      </c>
      <c r="J535" s="299">
        <v>0</v>
      </c>
      <c r="K535" s="299">
        <v>0</v>
      </c>
      <c r="L535" s="299">
        <v>0</v>
      </c>
      <c r="M535" s="297"/>
      <c r="N535" s="329"/>
      <c r="O535" s="668"/>
    </row>
    <row r="536" spans="1:15" hidden="1" x14ac:dyDescent="0.25">
      <c r="A536" s="334">
        <v>9009</v>
      </c>
      <c r="B536" s="335" t="s">
        <v>2170</v>
      </c>
      <c r="C536" s="311" t="s">
        <v>1810</v>
      </c>
      <c r="D536" s="311" t="s">
        <v>1810</v>
      </c>
      <c r="E536" s="311" t="s">
        <v>1810</v>
      </c>
      <c r="F536" s="299">
        <v>0</v>
      </c>
      <c r="G536" s="299">
        <v>0</v>
      </c>
      <c r="H536" s="299">
        <v>0</v>
      </c>
      <c r="I536" s="299">
        <v>0</v>
      </c>
      <c r="J536" s="299">
        <v>0</v>
      </c>
      <c r="K536" s="299">
        <v>0</v>
      </c>
      <c r="L536" s="299">
        <v>0</v>
      </c>
      <c r="M536" s="297"/>
      <c r="N536" s="329"/>
      <c r="O536" s="668"/>
    </row>
    <row r="537" spans="1:15" hidden="1" x14ac:dyDescent="0.25">
      <c r="A537" s="334">
        <v>9010</v>
      </c>
      <c r="B537" s="335" t="s">
        <v>2171</v>
      </c>
      <c r="C537" s="311" t="s">
        <v>1810</v>
      </c>
      <c r="D537" s="311" t="s">
        <v>1810</v>
      </c>
      <c r="E537" s="311" t="s">
        <v>1810</v>
      </c>
      <c r="F537" s="299">
        <v>0</v>
      </c>
      <c r="G537" s="299">
        <v>0</v>
      </c>
      <c r="H537" s="299">
        <v>0</v>
      </c>
      <c r="I537" s="299">
        <v>0</v>
      </c>
      <c r="J537" s="299">
        <v>0</v>
      </c>
      <c r="K537" s="299">
        <v>0</v>
      </c>
      <c r="L537" s="299">
        <v>0</v>
      </c>
      <c r="M537" s="297"/>
      <c r="N537" s="329"/>
      <c r="O537" s="668"/>
    </row>
    <row r="538" spans="1:15" hidden="1" x14ac:dyDescent="0.25">
      <c r="A538" s="334">
        <v>9024</v>
      </c>
      <c r="B538" s="335" t="s">
        <v>2172</v>
      </c>
      <c r="C538" s="311" t="s">
        <v>1810</v>
      </c>
      <c r="D538" s="311" t="s">
        <v>1810</v>
      </c>
      <c r="E538" s="311" t="s">
        <v>1810</v>
      </c>
      <c r="F538" s="299">
        <v>0</v>
      </c>
      <c r="G538" s="299">
        <v>0</v>
      </c>
      <c r="H538" s="299">
        <v>0</v>
      </c>
      <c r="I538" s="299">
        <v>0</v>
      </c>
      <c r="J538" s="299">
        <v>0</v>
      </c>
      <c r="K538" s="299">
        <v>0</v>
      </c>
      <c r="L538" s="299">
        <v>0</v>
      </c>
      <c r="M538" s="297"/>
      <c r="N538" s="329"/>
      <c r="O538" s="668"/>
    </row>
    <row r="539" spans="1:15" hidden="1" x14ac:dyDescent="0.25">
      <c r="A539" s="334">
        <v>9047</v>
      </c>
      <c r="B539" s="335" t="s">
        <v>2173</v>
      </c>
      <c r="C539" s="311" t="s">
        <v>1810</v>
      </c>
      <c r="D539" s="311" t="s">
        <v>1810</v>
      </c>
      <c r="E539" s="311" t="s">
        <v>1810</v>
      </c>
      <c r="F539" s="299">
        <v>0</v>
      </c>
      <c r="G539" s="299">
        <v>0</v>
      </c>
      <c r="H539" s="299">
        <v>0</v>
      </c>
      <c r="I539" s="299">
        <v>0</v>
      </c>
      <c r="J539" s="299">
        <v>0</v>
      </c>
      <c r="K539" s="299">
        <v>0</v>
      </c>
      <c r="L539" s="299">
        <v>0</v>
      </c>
      <c r="M539" s="297"/>
      <c r="N539" s="329"/>
      <c r="O539" s="668"/>
    </row>
    <row r="540" spans="1:15" hidden="1" x14ac:dyDescent="0.25">
      <c r="A540" s="334">
        <v>9203</v>
      </c>
      <c r="B540" s="335" t="s">
        <v>2174</v>
      </c>
      <c r="C540" s="311" t="s">
        <v>1810</v>
      </c>
      <c r="D540" s="311" t="s">
        <v>1810</v>
      </c>
      <c r="E540" s="311" t="s">
        <v>1810</v>
      </c>
      <c r="F540" s="299">
        <v>0</v>
      </c>
      <c r="G540" s="299">
        <v>0</v>
      </c>
      <c r="H540" s="299">
        <v>0</v>
      </c>
      <c r="I540" s="299">
        <v>0</v>
      </c>
      <c r="J540" s="299">
        <v>0</v>
      </c>
      <c r="K540" s="299">
        <v>0</v>
      </c>
      <c r="L540" s="299">
        <v>0</v>
      </c>
      <c r="M540" s="297"/>
      <c r="N540" s="329"/>
      <c r="O540" s="668"/>
    </row>
    <row r="541" spans="1:15" hidden="1" x14ac:dyDescent="0.25">
      <c r="A541" s="334">
        <v>9219</v>
      </c>
      <c r="B541" s="335" t="s">
        <v>2175</v>
      </c>
      <c r="C541" s="311" t="s">
        <v>1810</v>
      </c>
      <c r="D541" s="311" t="s">
        <v>1810</v>
      </c>
      <c r="E541" s="311" t="s">
        <v>1810</v>
      </c>
      <c r="F541" s="299">
        <v>0</v>
      </c>
      <c r="G541" s="299">
        <v>0</v>
      </c>
      <c r="H541" s="299">
        <v>0</v>
      </c>
      <c r="I541" s="299">
        <v>0</v>
      </c>
      <c r="J541" s="299">
        <v>0</v>
      </c>
      <c r="K541" s="299">
        <v>0</v>
      </c>
      <c r="L541" s="299">
        <v>0</v>
      </c>
      <c r="M541" s="301"/>
      <c r="N541" s="302"/>
      <c r="O541" s="665"/>
    </row>
    <row r="542" spans="1:15" hidden="1" x14ac:dyDescent="0.25">
      <c r="A542" s="334">
        <v>9243</v>
      </c>
      <c r="B542" s="335" t="s">
        <v>2176</v>
      </c>
      <c r="C542" s="311" t="s">
        <v>1810</v>
      </c>
      <c r="D542" s="311" t="s">
        <v>1810</v>
      </c>
      <c r="E542" s="311" t="s">
        <v>1810</v>
      </c>
      <c r="F542" s="299">
        <v>0</v>
      </c>
      <c r="G542" s="299">
        <v>0</v>
      </c>
      <c r="H542" s="299">
        <v>0</v>
      </c>
      <c r="I542" s="299">
        <v>0</v>
      </c>
      <c r="J542" s="299">
        <v>0</v>
      </c>
      <c r="K542" s="299">
        <v>0</v>
      </c>
      <c r="L542" s="299">
        <v>0</v>
      </c>
      <c r="M542" s="301"/>
      <c r="N542" s="302"/>
      <c r="O542" s="665"/>
    </row>
    <row r="543" spans="1:15" hidden="1" x14ac:dyDescent="0.25">
      <c r="A543" s="334">
        <v>9310</v>
      </c>
      <c r="B543" s="335" t="s">
        <v>840</v>
      </c>
      <c r="C543" s="311" t="s">
        <v>1810</v>
      </c>
      <c r="D543" s="311" t="s">
        <v>1810</v>
      </c>
      <c r="E543" s="311" t="s">
        <v>1810</v>
      </c>
      <c r="F543" s="299">
        <v>0</v>
      </c>
      <c r="G543" s="299">
        <v>-2151.2600000000002</v>
      </c>
      <c r="H543" s="299">
        <v>0</v>
      </c>
      <c r="I543" s="299">
        <v>0</v>
      </c>
      <c r="J543" s="299">
        <v>0</v>
      </c>
      <c r="K543" s="299">
        <v>0</v>
      </c>
      <c r="L543" s="299">
        <v>-2151</v>
      </c>
      <c r="M543" s="297"/>
      <c r="N543" s="329"/>
      <c r="O543" s="668"/>
    </row>
    <row r="544" spans="1:15" hidden="1" x14ac:dyDescent="0.25">
      <c r="A544" s="334">
        <v>9900</v>
      </c>
      <c r="B544" s="335" t="s">
        <v>2177</v>
      </c>
      <c r="C544" s="311" t="s">
        <v>1810</v>
      </c>
      <c r="D544" s="311" t="s">
        <v>1810</v>
      </c>
      <c r="E544" s="311" t="s">
        <v>1810</v>
      </c>
      <c r="F544" s="299">
        <v>0</v>
      </c>
      <c r="G544" s="299">
        <v>0</v>
      </c>
      <c r="H544" s="299">
        <v>0</v>
      </c>
      <c r="I544" s="299">
        <v>0</v>
      </c>
      <c r="J544" s="299">
        <v>0</v>
      </c>
      <c r="K544" s="299">
        <v>0</v>
      </c>
      <c r="L544" s="299">
        <v>0</v>
      </c>
      <c r="M544" s="297"/>
      <c r="N544" s="329"/>
      <c r="O544" s="668"/>
    </row>
    <row r="545" spans="1:15" hidden="1" x14ac:dyDescent="0.25">
      <c r="A545" s="334" t="s">
        <v>2178</v>
      </c>
      <c r="B545" s="336" t="s">
        <v>2179</v>
      </c>
      <c r="C545" s="311" t="s">
        <v>1810</v>
      </c>
      <c r="D545" s="311" t="s">
        <v>1810</v>
      </c>
      <c r="E545" s="311" t="s">
        <v>1810</v>
      </c>
      <c r="F545" s="299">
        <v>0</v>
      </c>
      <c r="G545" s="299">
        <v>-11461.31</v>
      </c>
      <c r="H545" s="299">
        <v>0</v>
      </c>
      <c r="I545" s="299">
        <v>0</v>
      </c>
      <c r="J545" s="299">
        <v>0</v>
      </c>
      <c r="K545" s="299">
        <v>0</v>
      </c>
      <c r="L545" s="299">
        <v>-11461</v>
      </c>
      <c r="M545" s="297"/>
      <c r="N545" s="329"/>
      <c r="O545" s="668"/>
    </row>
    <row r="546" spans="1:15" ht="15.75" hidden="1" thickBot="1" x14ac:dyDescent="0.3">
      <c r="A546" s="337" t="s">
        <v>845</v>
      </c>
      <c r="B546" s="234"/>
      <c r="C546" s="338">
        <v>0</v>
      </c>
      <c r="D546" s="338">
        <v>0</v>
      </c>
      <c r="E546" s="338">
        <v>0</v>
      </c>
      <c r="F546" s="339">
        <v>667117.51</v>
      </c>
      <c r="G546" s="339">
        <v>27185.200000000004</v>
      </c>
      <c r="H546" s="339">
        <v>298684.09999999998</v>
      </c>
      <c r="I546" s="339">
        <v>243526.86000000002</v>
      </c>
      <c r="J546" s="339">
        <v>1043.08</v>
      </c>
      <c r="K546" s="339">
        <v>0</v>
      </c>
      <c r="L546" s="339">
        <v>1237557</v>
      </c>
      <c r="M546" s="301"/>
      <c r="N546" s="302"/>
      <c r="O546" s="665"/>
    </row>
    <row r="547" spans="1:15" x14ac:dyDescent="0.25">
      <c r="A547" s="337"/>
      <c r="B547" s="340"/>
      <c r="C547" s="311"/>
      <c r="D547" s="311"/>
      <c r="E547" s="311"/>
      <c r="F547" s="299"/>
      <c r="G547" s="299"/>
      <c r="H547" s="299"/>
      <c r="I547" s="299"/>
      <c r="J547" s="299"/>
      <c r="K547" s="299"/>
      <c r="L547" s="299"/>
      <c r="M547" s="301"/>
      <c r="N547" s="302"/>
      <c r="O547" s="665"/>
    </row>
    <row r="548" spans="1:15" x14ac:dyDescent="0.25">
      <c r="A548" s="337"/>
      <c r="B548" s="340"/>
      <c r="C548" s="311"/>
      <c r="D548" s="311"/>
      <c r="E548" s="311"/>
      <c r="F548" s="299"/>
      <c r="G548" s="299"/>
      <c r="H548" s="299"/>
      <c r="I548" s="299"/>
      <c r="J548" s="299"/>
      <c r="K548" s="299"/>
      <c r="L548" s="299"/>
      <c r="M548" s="301"/>
      <c r="N548" s="302"/>
      <c r="O548" s="665"/>
    </row>
    <row r="549" spans="1:15" hidden="1" x14ac:dyDescent="0.25">
      <c r="A549" s="341" t="s">
        <v>96</v>
      </c>
      <c r="B549" s="340"/>
      <c r="C549" s="311">
        <f t="shared" ref="C549:K549" si="2">C147+C165+C546</f>
        <v>169336213</v>
      </c>
      <c r="D549" s="311">
        <f t="shared" si="2"/>
        <v>8761162</v>
      </c>
      <c r="E549" s="311">
        <f t="shared" si="2"/>
        <v>2409256</v>
      </c>
      <c r="F549" s="299">
        <f t="shared" si="2"/>
        <v>601728047.50999999</v>
      </c>
      <c r="G549" s="299">
        <f t="shared" si="2"/>
        <v>545742641.20000005</v>
      </c>
      <c r="H549" s="299">
        <f t="shared" si="2"/>
        <v>617979718.75</v>
      </c>
      <c r="I549" s="299">
        <f t="shared" si="2"/>
        <v>46153375.859999999</v>
      </c>
      <c r="J549" s="299">
        <f t="shared" si="2"/>
        <v>183442133.08000001</v>
      </c>
      <c r="K549" s="299">
        <f t="shared" si="2"/>
        <v>113892833</v>
      </c>
      <c r="L549" s="299">
        <v>2289156500.9216609</v>
      </c>
      <c r="M549" s="301"/>
      <c r="N549" s="302"/>
      <c r="O549" s="665"/>
    </row>
    <row r="550" spans="1:15" hidden="1" x14ac:dyDescent="0.25">
      <c r="A550" s="337"/>
      <c r="B550" s="340"/>
      <c r="C550" s="311"/>
      <c r="D550" s="311"/>
      <c r="E550" s="311"/>
      <c r="F550" s="299"/>
      <c r="G550" s="299"/>
      <c r="H550" s="299"/>
      <c r="I550" s="299"/>
      <c r="J550" s="299"/>
      <c r="K550" s="299"/>
      <c r="L550" s="299"/>
      <c r="M550" s="301"/>
      <c r="N550" s="302"/>
      <c r="O550" s="665"/>
    </row>
    <row r="551" spans="1:15" hidden="1" x14ac:dyDescent="0.25">
      <c r="A551" s="342" t="s">
        <v>105</v>
      </c>
      <c r="B551" s="234"/>
      <c r="C551" s="311">
        <v>238723490</v>
      </c>
      <c r="D551" s="311">
        <v>334506130</v>
      </c>
      <c r="E551" s="311">
        <v>3421750786</v>
      </c>
      <c r="F551" s="343">
        <v>601728049</v>
      </c>
      <c r="G551" s="343">
        <v>545742642</v>
      </c>
      <c r="H551" s="343">
        <v>617979721</v>
      </c>
      <c r="I551" s="343">
        <v>46153375</v>
      </c>
      <c r="J551" s="343">
        <v>183442135</v>
      </c>
      <c r="K551" s="343">
        <v>113892833</v>
      </c>
      <c r="L551" s="299">
        <v>2108938755</v>
      </c>
      <c r="M551" s="301"/>
      <c r="N551" s="302"/>
      <c r="O551" s="665"/>
    </row>
    <row r="552" spans="1:15" hidden="1" x14ac:dyDescent="0.25">
      <c r="A552" s="177"/>
      <c r="B552" s="177"/>
      <c r="C552" s="311"/>
      <c r="D552" s="311"/>
      <c r="E552" s="311"/>
      <c r="F552" s="299"/>
      <c r="G552" s="299"/>
      <c r="H552" s="299"/>
      <c r="I552" s="299"/>
      <c r="J552" s="299"/>
      <c r="K552" s="299"/>
      <c r="L552" s="299"/>
      <c r="M552" s="301"/>
      <c r="N552" s="302"/>
      <c r="O552" s="665"/>
    </row>
    <row r="553" spans="1:15" ht="15.75" hidden="1" thickBot="1" x14ac:dyDescent="0.3">
      <c r="A553" s="312" t="s">
        <v>1014</v>
      </c>
      <c r="B553" s="301"/>
      <c r="C553" s="344"/>
      <c r="D553" s="344"/>
      <c r="E553" s="344"/>
      <c r="F553" s="331">
        <v>9295.4900000095367</v>
      </c>
      <c r="G553" s="331">
        <v>186904.79999995232</v>
      </c>
      <c r="H553" s="331">
        <v>75660.728339195251</v>
      </c>
      <c r="I553" s="331">
        <v>-0.85999999940395355</v>
      </c>
      <c r="J553" s="331">
        <v>1.9199999868869781</v>
      </c>
      <c r="K553" s="331">
        <v>731</v>
      </c>
      <c r="L553" s="339">
        <v>272593.07833914459</v>
      </c>
      <c r="M553" s="301"/>
      <c r="N553" s="302"/>
      <c r="O553" s="665"/>
    </row>
    <row r="554" spans="1:15" x14ac:dyDescent="0.25">
      <c r="A554" s="217"/>
      <c r="B554" s="217"/>
      <c r="C554" s="217"/>
      <c r="D554" s="217"/>
      <c r="E554" s="217"/>
      <c r="F554" s="328"/>
      <c r="G554" s="328"/>
      <c r="H554" s="328"/>
      <c r="I554" s="328"/>
      <c r="J554" s="328"/>
      <c r="K554" s="328"/>
      <c r="L554" s="328"/>
      <c r="M554" s="297"/>
      <c r="N554" s="329"/>
      <c r="O554" s="668"/>
    </row>
    <row r="555" spans="1:15" x14ac:dyDescent="0.25">
      <c r="A555" s="217"/>
      <c r="B555" s="217"/>
      <c r="C555" s="217"/>
      <c r="D555" s="217"/>
      <c r="E555" s="217"/>
      <c r="F555" s="328"/>
      <c r="G555" s="328"/>
      <c r="H555" s="328"/>
      <c r="I555" s="328"/>
      <c r="J555" s="328"/>
      <c r="K555" s="328"/>
      <c r="L555" s="328"/>
      <c r="M555" s="297"/>
      <c r="N555" s="329"/>
      <c r="O555" s="668"/>
    </row>
    <row r="556" spans="1:15" x14ac:dyDescent="0.25">
      <c r="A556" s="217"/>
      <c r="B556" s="217"/>
      <c r="C556" s="217"/>
      <c r="D556" s="297"/>
      <c r="E556" s="297"/>
      <c r="F556" s="328"/>
      <c r="G556" s="328"/>
      <c r="H556" s="328"/>
      <c r="I556" s="328"/>
      <c r="J556" s="328"/>
      <c r="K556" s="328"/>
      <c r="L556" s="328"/>
      <c r="M556" s="297"/>
      <c r="N556" s="329"/>
      <c r="O556" s="668"/>
    </row>
    <row r="557" spans="1:15" x14ac:dyDescent="0.25">
      <c r="A557" s="217"/>
      <c r="B557" s="217"/>
      <c r="C557" s="217"/>
      <c r="D557" s="297"/>
      <c r="E557" s="297"/>
      <c r="F557" s="328"/>
      <c r="G557" s="328"/>
      <c r="H557" s="328"/>
      <c r="I557" s="328"/>
      <c r="J557" s="328"/>
      <c r="K557" s="328"/>
      <c r="L557" s="328"/>
      <c r="M557" s="297"/>
      <c r="N557" s="329"/>
      <c r="O557" s="668"/>
    </row>
    <row r="558" spans="1:15" x14ac:dyDescent="0.25">
      <c r="A558" s="217"/>
      <c r="B558" s="217"/>
      <c r="C558" s="217"/>
      <c r="D558" s="303"/>
      <c r="E558" s="320"/>
      <c r="F558" s="328"/>
      <c r="G558" s="328"/>
      <c r="H558" s="328"/>
      <c r="I558" s="328"/>
      <c r="J558" s="328"/>
      <c r="K558" s="328"/>
      <c r="L558" s="328"/>
      <c r="M558" s="297"/>
      <c r="N558" s="329"/>
      <c r="O558" s="668"/>
    </row>
    <row r="559" spans="1:15" x14ac:dyDescent="0.25">
      <c r="A559" s="217"/>
      <c r="B559" s="217"/>
      <c r="C559" s="217"/>
      <c r="D559" s="303"/>
      <c r="E559" s="320"/>
      <c r="F559" s="328"/>
      <c r="G559" s="328"/>
      <c r="H559" s="328"/>
      <c r="I559" s="328"/>
      <c r="J559" s="328"/>
      <c r="K559" s="328"/>
      <c r="L559" s="328"/>
      <c r="M559" s="297"/>
      <c r="N559" s="329"/>
      <c r="O559" s="668"/>
    </row>
    <row r="560" spans="1:15" x14ac:dyDescent="0.25">
      <c r="A560" s="217"/>
      <c r="B560" s="217"/>
      <c r="C560" s="217"/>
      <c r="D560" s="303"/>
      <c r="E560" s="345"/>
      <c r="F560" s="328"/>
      <c r="G560" s="328"/>
      <c r="H560" s="328"/>
      <c r="I560" s="328"/>
      <c r="J560" s="328"/>
      <c r="K560" s="328"/>
      <c r="L560" s="328"/>
      <c r="M560" s="297"/>
      <c r="N560" s="329"/>
      <c r="O560" s="668"/>
    </row>
    <row r="561" spans="1:15" x14ac:dyDescent="0.25">
      <c r="A561" s="217"/>
      <c r="B561" s="217"/>
      <c r="C561" s="217"/>
      <c r="D561" s="303"/>
      <c r="E561" s="320"/>
      <c r="F561" s="328"/>
      <c r="G561" s="328"/>
      <c r="H561" s="328"/>
      <c r="I561" s="328"/>
      <c r="J561" s="328"/>
      <c r="K561" s="328"/>
      <c r="L561" s="328"/>
      <c r="M561" s="297"/>
      <c r="N561" s="329"/>
      <c r="O561" s="668"/>
    </row>
    <row r="562" spans="1:15" x14ac:dyDescent="0.25">
      <c r="A562" s="217"/>
      <c r="B562" s="217"/>
      <c r="C562" s="217"/>
      <c r="D562" s="303"/>
      <c r="E562" s="320"/>
      <c r="F562" s="328"/>
      <c r="G562" s="328"/>
      <c r="H562" s="328"/>
      <c r="I562" s="328"/>
      <c r="J562" s="328"/>
      <c r="K562" s="328"/>
      <c r="L562" s="328"/>
      <c r="M562" s="297"/>
      <c r="N562" s="329"/>
      <c r="O562" s="668"/>
    </row>
    <row r="563" spans="1:15" x14ac:dyDescent="0.25">
      <c r="A563" s="217"/>
      <c r="B563" s="217"/>
      <c r="C563" s="217"/>
      <c r="D563" s="303"/>
      <c r="E563" s="320"/>
      <c r="F563" s="328"/>
      <c r="G563" s="328"/>
      <c r="H563" s="328"/>
      <c r="I563" s="328"/>
      <c r="J563" s="328"/>
      <c r="K563" s="328"/>
      <c r="L563" s="328"/>
      <c r="M563" s="297"/>
      <c r="N563" s="329"/>
      <c r="O563" s="668"/>
    </row>
    <row r="564" spans="1:15" x14ac:dyDescent="0.25">
      <c r="A564" s="217"/>
      <c r="B564" s="217"/>
      <c r="C564" s="217"/>
      <c r="D564" s="297"/>
      <c r="E564" s="320"/>
      <c r="F564" s="328"/>
      <c r="G564" s="328"/>
      <c r="H564" s="328"/>
      <c r="I564" s="328"/>
      <c r="J564" s="328"/>
      <c r="K564" s="328"/>
      <c r="L564" s="328"/>
      <c r="M564" s="297"/>
      <c r="N564" s="329"/>
      <c r="O564" s="668"/>
    </row>
    <row r="565" spans="1:15" x14ac:dyDescent="0.25">
      <c r="A565" s="217"/>
      <c r="B565" s="217"/>
      <c r="C565" s="217"/>
      <c r="D565" s="297"/>
      <c r="E565" s="297"/>
      <c r="F565" s="328"/>
      <c r="G565" s="328"/>
      <c r="H565" s="328"/>
      <c r="I565" s="328"/>
      <c r="J565" s="328"/>
      <c r="K565" s="328"/>
      <c r="L565" s="328"/>
      <c r="M565" s="297"/>
      <c r="N565" s="329"/>
      <c r="O565" s="668"/>
    </row>
  </sheetData>
  <autoFilter ref="A7:O553"/>
  <conditionalFormatting sqref="F87:K89 F37:K41 C11:K12 C98:K98 C105:K115 C157:K164 C19:K36 C47:K86 C168:K545 C124:K143 D121:E121 G121:K121 D122:K123">
    <cfRule type="cellIs" dxfId="11" priority="12" stopIfTrue="1" operator="equal">
      <formula>0</formula>
    </cfRule>
  </conditionalFormatting>
  <conditionalFormatting sqref="C104">
    <cfRule type="cellIs" dxfId="10" priority="11" stopIfTrue="1" operator="equal">
      <formula>0</formula>
    </cfRule>
  </conditionalFormatting>
  <conditionalFormatting sqref="G104">
    <cfRule type="cellIs" dxfId="9" priority="2" stopIfTrue="1" operator="equal">
      <formula>0</formula>
    </cfRule>
  </conditionalFormatting>
  <conditionalFormatting sqref="D104">
    <cfRule type="cellIs" dxfId="8" priority="10" stopIfTrue="1" operator="equal">
      <formula>0</formula>
    </cfRule>
  </conditionalFormatting>
  <conditionalFormatting sqref="C122">
    <cfRule type="cellIs" dxfId="7" priority="5" stopIfTrue="1" operator="equal">
      <formula>0</formula>
    </cfRule>
  </conditionalFormatting>
  <conditionalFormatting sqref="F104">
    <cfRule type="cellIs" dxfId="6" priority="9" stopIfTrue="1" operator="equal">
      <formula>0</formula>
    </cfRule>
  </conditionalFormatting>
  <conditionalFormatting sqref="H104">
    <cfRule type="cellIs" dxfId="5" priority="8" stopIfTrue="1" operator="equal">
      <formula>0</formula>
    </cfRule>
  </conditionalFormatting>
  <conditionalFormatting sqref="E104">
    <cfRule type="cellIs" dxfId="4" priority="4" stopIfTrue="1" operator="equal">
      <formula>0</formula>
    </cfRule>
  </conditionalFormatting>
  <conditionalFormatting sqref="K104">
    <cfRule type="cellIs" dxfId="3" priority="7" stopIfTrue="1" operator="equal">
      <formula>0</formula>
    </cfRule>
  </conditionalFormatting>
  <conditionalFormatting sqref="C121">
    <cfRule type="cellIs" dxfId="2" priority="6" stopIfTrue="1" operator="equal">
      <formula>0</formula>
    </cfRule>
  </conditionalFormatting>
  <conditionalFormatting sqref="F121">
    <cfRule type="cellIs" dxfId="1" priority="3" stopIfTrue="1" operator="equal">
      <formula>0</formula>
    </cfRule>
  </conditionalFormatting>
  <conditionalFormatting sqref="C123">
    <cfRule type="cellIs" dxfId="0" priority="1" stopIfTrue="1" operator="equal">
      <formula>0</formula>
    </cfRule>
  </conditionalFormatting>
  <pageMargins left="0.7" right="0.7" top="0.75" bottom="0.75" header="0.3" footer="0.3"/>
  <pageSetup scale="64" fitToHeight="0" orientation="landscape" verticalDpi="1200" r:id="rId1"/>
  <headerFooter>
    <oddHeader>&amp;RTO8 Annual Update (Revised)
Attachment 2
WP‐Schedule 7-2011 Plant Study
Page &amp;P of &amp;N</oddHeader>
    <oddFooter>&amp;C&amp;A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X85"/>
  <sheetViews>
    <sheetView zoomScale="80" zoomScaleNormal="80" workbookViewId="0">
      <selection activeCell="AI2" sqref="AI2:AO2"/>
    </sheetView>
  </sheetViews>
  <sheetFormatPr defaultRowHeight="15" x14ac:dyDescent="0.25"/>
  <cols>
    <col min="1" max="1" width="41.42578125" customWidth="1"/>
    <col min="2" max="2" width="14.28515625" style="120" customWidth="1"/>
    <col min="3" max="3" width="13.5703125" customWidth="1"/>
    <col min="4" max="5" width="13.140625" customWidth="1"/>
    <col min="6" max="6" width="12.28515625" customWidth="1"/>
    <col min="7" max="8" width="13.42578125" customWidth="1"/>
    <col min="9" max="10" width="13.5703125" customWidth="1"/>
    <col min="11" max="12" width="13.28515625" customWidth="1"/>
    <col min="13" max="18" width="16.140625" customWidth="1"/>
    <col min="19" max="19" width="13.140625" customWidth="1"/>
    <col min="20" max="21" width="13.5703125" customWidth="1"/>
    <col min="22" max="22" width="13.28515625" customWidth="1"/>
    <col min="23" max="23" width="13.140625" customWidth="1"/>
    <col min="24" max="24" width="13.42578125" customWidth="1"/>
    <col min="25" max="25" width="12.85546875" customWidth="1"/>
    <col min="26" max="26" width="13.5703125" customWidth="1"/>
    <col min="27" max="27" width="13.140625" customWidth="1"/>
    <col min="28" max="28" width="13.5703125" bestFit="1" customWidth="1"/>
    <col min="29" max="30" width="13.42578125" bestFit="1" customWidth="1"/>
    <col min="31" max="33" width="10.42578125" customWidth="1"/>
    <col min="34" max="34" width="2.7109375" customWidth="1"/>
    <col min="35" max="37" width="13.7109375" customWidth="1"/>
    <col min="38" max="38" width="7.28515625" customWidth="1"/>
    <col min="39" max="41" width="13.7109375" customWidth="1"/>
    <col min="43" max="43" width="20.85546875" style="120" bestFit="1" customWidth="1"/>
  </cols>
  <sheetData>
    <row r="1" spans="1:50" ht="15.75" thickBot="1" x14ac:dyDescent="0.3">
      <c r="A1" s="288"/>
    </row>
    <row r="2" spans="1:50" ht="30" customHeight="1" thickBot="1" x14ac:dyDescent="0.35">
      <c r="A2" s="288"/>
      <c r="B2" s="1"/>
      <c r="C2" s="828" t="s">
        <v>1274</v>
      </c>
      <c r="D2" s="822"/>
      <c r="E2" s="822"/>
      <c r="F2" s="822"/>
      <c r="G2" s="822"/>
      <c r="H2" s="822"/>
      <c r="I2" s="824"/>
      <c r="J2" s="829" t="s">
        <v>797</v>
      </c>
      <c r="K2" s="823"/>
      <c r="L2" s="823"/>
      <c r="M2" s="822" t="s">
        <v>798</v>
      </c>
      <c r="N2" s="822"/>
      <c r="O2" s="822"/>
      <c r="P2" s="822" t="s">
        <v>117</v>
      </c>
      <c r="Q2" s="822"/>
      <c r="R2" s="822"/>
      <c r="S2" s="823" t="s">
        <v>797</v>
      </c>
      <c r="T2" s="823"/>
      <c r="U2" s="823"/>
      <c r="V2" s="822" t="s">
        <v>798</v>
      </c>
      <c r="W2" s="822"/>
      <c r="X2" s="822"/>
      <c r="Y2" s="822" t="s">
        <v>117</v>
      </c>
      <c r="Z2" s="822"/>
      <c r="AA2" s="824"/>
      <c r="AB2" s="825" t="s">
        <v>107</v>
      </c>
      <c r="AC2" s="826"/>
      <c r="AD2" s="826"/>
      <c r="AE2" s="826"/>
      <c r="AF2" s="826"/>
      <c r="AG2" s="827"/>
      <c r="AI2" s="825" t="s">
        <v>108</v>
      </c>
      <c r="AJ2" s="826"/>
      <c r="AK2" s="826"/>
      <c r="AL2" s="826"/>
      <c r="AM2" s="826"/>
      <c r="AN2" s="826"/>
      <c r="AO2" s="827"/>
    </row>
    <row r="3" spans="1:50" ht="15.75" thickBot="1" x14ac:dyDescent="0.3">
      <c r="AB3" s="822" t="s">
        <v>798</v>
      </c>
      <c r="AC3" s="822"/>
      <c r="AD3" s="822"/>
      <c r="AE3" s="822" t="s">
        <v>798</v>
      </c>
      <c r="AF3" s="822"/>
      <c r="AG3" s="822"/>
      <c r="AI3" s="822" t="s">
        <v>798</v>
      </c>
      <c r="AJ3" s="822"/>
      <c r="AK3" s="822"/>
      <c r="AM3" s="822" t="s">
        <v>798</v>
      </c>
      <c r="AN3" s="822"/>
      <c r="AO3" s="822"/>
      <c r="AR3" s="822" t="s">
        <v>798</v>
      </c>
      <c r="AS3" s="822"/>
      <c r="AT3" s="822"/>
      <c r="AV3" s="822" t="s">
        <v>798</v>
      </c>
      <c r="AW3" s="822"/>
      <c r="AX3" s="822"/>
    </row>
    <row r="4" spans="1:50" ht="29.25" customHeight="1" x14ac:dyDescent="0.25">
      <c r="A4" s="119" t="s">
        <v>1272</v>
      </c>
      <c r="B4" s="661" t="s">
        <v>1273</v>
      </c>
      <c r="C4" s="119" t="s">
        <v>994</v>
      </c>
      <c r="D4" s="119" t="s">
        <v>995</v>
      </c>
      <c r="E4" s="119" t="s">
        <v>996</v>
      </c>
      <c r="F4" s="119" t="s">
        <v>1445</v>
      </c>
      <c r="G4" s="119" t="s">
        <v>1457</v>
      </c>
      <c r="H4" s="119" t="s">
        <v>1458</v>
      </c>
      <c r="I4" s="119" t="s">
        <v>1428</v>
      </c>
      <c r="J4" s="119" t="s">
        <v>994</v>
      </c>
      <c r="K4" s="119" t="s">
        <v>995</v>
      </c>
      <c r="L4" s="119" t="s">
        <v>996</v>
      </c>
      <c r="M4" s="119" t="s">
        <v>994</v>
      </c>
      <c r="N4" s="119" t="s">
        <v>995</v>
      </c>
      <c r="O4" s="119" t="s">
        <v>996</v>
      </c>
      <c r="P4" s="119" t="s">
        <v>994</v>
      </c>
      <c r="Q4" s="119" t="s">
        <v>995</v>
      </c>
      <c r="R4" s="119" t="s">
        <v>996</v>
      </c>
      <c r="S4" s="119" t="s">
        <v>1507</v>
      </c>
      <c r="T4" s="119" t="s">
        <v>1457</v>
      </c>
      <c r="U4" s="119" t="s">
        <v>1458</v>
      </c>
      <c r="V4" s="119" t="s">
        <v>1507</v>
      </c>
      <c r="W4" s="119" t="s">
        <v>1457</v>
      </c>
      <c r="X4" s="119" t="s">
        <v>1458</v>
      </c>
      <c r="Y4" s="119" t="s">
        <v>1507</v>
      </c>
      <c r="Z4" s="119" t="s">
        <v>1457</v>
      </c>
      <c r="AA4" s="119" t="s">
        <v>1458</v>
      </c>
      <c r="AB4" s="119" t="s">
        <v>994</v>
      </c>
      <c r="AC4" s="119" t="s">
        <v>995</v>
      </c>
      <c r="AD4" s="119" t="s">
        <v>996</v>
      </c>
      <c r="AE4" s="119" t="s">
        <v>1507</v>
      </c>
      <c r="AF4" s="119" t="s">
        <v>1457</v>
      </c>
      <c r="AG4" s="119" t="s">
        <v>1458</v>
      </c>
      <c r="AI4" s="119" t="s">
        <v>994</v>
      </c>
      <c r="AJ4" s="119" t="s">
        <v>995</v>
      </c>
      <c r="AK4" s="119" t="s">
        <v>996</v>
      </c>
      <c r="AM4" s="119" t="s">
        <v>1507</v>
      </c>
      <c r="AN4" s="119" t="s">
        <v>1457</v>
      </c>
      <c r="AO4" s="119" t="s">
        <v>1458</v>
      </c>
      <c r="AQ4" s="119" t="s">
        <v>110</v>
      </c>
      <c r="AR4" s="119" t="s">
        <v>994</v>
      </c>
      <c r="AS4" s="119" t="s">
        <v>995</v>
      </c>
      <c r="AT4" s="119" t="s">
        <v>996</v>
      </c>
      <c r="AV4" s="119" t="s">
        <v>1507</v>
      </c>
      <c r="AW4" s="119" t="s">
        <v>1457</v>
      </c>
      <c r="AX4" s="119" t="s">
        <v>1458</v>
      </c>
    </row>
    <row r="5" spans="1:50" ht="15" customHeight="1" x14ac:dyDescent="0.25">
      <c r="A5" s="51" t="s">
        <v>1002</v>
      </c>
      <c r="B5" s="20">
        <v>4026</v>
      </c>
      <c r="C5" s="1">
        <v>2910822.12</v>
      </c>
      <c r="D5" s="1">
        <v>0</v>
      </c>
      <c r="E5" s="1">
        <v>27104.880000000001</v>
      </c>
      <c r="F5" s="1">
        <v>0</v>
      </c>
      <c r="G5" s="1">
        <v>0</v>
      </c>
      <c r="H5" s="1">
        <v>0</v>
      </c>
      <c r="I5" s="152">
        <f t="shared" ref="I5:I55" si="0">SUM(C5:H5)</f>
        <v>2937927</v>
      </c>
      <c r="J5" s="121">
        <v>0</v>
      </c>
      <c r="K5" s="121">
        <v>0</v>
      </c>
      <c r="L5" s="121">
        <v>0</v>
      </c>
      <c r="M5" s="657">
        <f>IF('Plant Total by Account'!$H$1=1,AB5,IF('Plant Total by Account'!$H$1=2,AI5,"Input Toggle"))</f>
        <v>2910822.12</v>
      </c>
      <c r="N5" s="657">
        <f>IF('Plant Total by Account'!$H$1=1,AC5,IF('Plant Total by Account'!$H$1=2,AJ5,"Input Toggle"))</f>
        <v>0</v>
      </c>
      <c r="O5" s="657">
        <f>IF('Plant Total by Account'!$H$1=1,AD5,IF('Plant Total by Account'!$H$1=2,AK5,"Input Toggle"))</f>
        <v>27104.880000000001</v>
      </c>
      <c r="P5" s="657">
        <f t="shared" ref="P5:P36" si="1">C5-M5</f>
        <v>0</v>
      </c>
      <c r="Q5" s="657">
        <f t="shared" ref="Q5:Q36" si="2">IF((D5-N5)&lt;0,D5,D5-N5)</f>
        <v>0</v>
      </c>
      <c r="R5" s="657">
        <f t="shared" ref="R5:R36" si="3">E5-O5</f>
        <v>0</v>
      </c>
      <c r="S5" s="657">
        <v>0</v>
      </c>
      <c r="T5" s="657">
        <v>0</v>
      </c>
      <c r="U5" s="657">
        <v>0</v>
      </c>
      <c r="V5" s="657">
        <f>IF('Plant Total by Account'!$H$1=1,AE5,IF('Plant Total by Account'!$H$1=2,AM5,"Input Toggle"))</f>
        <v>0</v>
      </c>
      <c r="W5" s="657">
        <f>IF('Plant Total by Account'!$H$1=1,AF5,IF('Plant Total by Account'!$H$1=2,AN5,"Input Toggle"))</f>
        <v>0</v>
      </c>
      <c r="X5" s="657">
        <f>IF('Plant Total by Account'!$H$1=1,AG5,IF('Plant Total by Account'!$H$1=2,AO5,"Input Toggle"))</f>
        <v>0</v>
      </c>
      <c r="Y5" s="657">
        <f t="shared" ref="Y5:Y36" si="4">F5-V5</f>
        <v>0</v>
      </c>
      <c r="Z5" s="121">
        <f t="shared" ref="Z5:Z36" si="5">G5-W5</f>
        <v>0</v>
      </c>
      <c r="AA5" s="121">
        <f t="shared" ref="AA5:AA36" si="6">H5-X5</f>
        <v>0</v>
      </c>
      <c r="AB5" s="657">
        <f>SUMIF('ISO w_System Splits'!$D$8:$D$469,$B5,'ISO w_System Splits'!G$8:G$469)</f>
        <v>2910822.12</v>
      </c>
      <c r="AC5" s="657">
        <f>SUMIF('ISO w_System Splits'!$D$8:$D$469,$B5,'ISO w_System Splits'!H$8:H$469)</f>
        <v>0</v>
      </c>
      <c r="AD5" s="657">
        <f>SUMIF('ISO w_System Splits'!$D$8:$D$469,$B5,'ISO w_System Splits'!I$8:I$469)</f>
        <v>27104.880000000001</v>
      </c>
      <c r="AE5" s="657">
        <v>0</v>
      </c>
      <c r="AF5" s="657">
        <v>0</v>
      </c>
      <c r="AG5" s="657">
        <v>0</v>
      </c>
      <c r="AH5" s="130"/>
      <c r="AI5" s="657">
        <f>SUMIF('ISO w_System Splits'!$D$8:$D$615,$B5,'ISO w_System Splits'!G$8:G$615)-SUMIF('ISO w_System Splits'!$D$470:$D$520,$B5,'ISO w_System Splits'!G$470:G$520)</f>
        <v>2910822.12</v>
      </c>
      <c r="AJ5" s="657">
        <f>SUMIF('ISO w_System Splits'!$D$8:$D$615,$B5,'ISO w_System Splits'!H$8:H$615)-SUMIF('ISO w_System Splits'!$D$470:$D$520,$B5,'ISO w_System Splits'!H$470:H$520)</f>
        <v>0</v>
      </c>
      <c r="AK5" s="657">
        <f>SUMIF('ISO w_System Splits'!$D$8:$D$615,$B5,'ISO w_System Splits'!I$8:I$615)-SUMIF('ISO w_System Splits'!$D$470:$D$520,$B5,'ISO w_System Splits'!I$470:I$520)</f>
        <v>27104.880000000001</v>
      </c>
      <c r="AL5" s="130"/>
      <c r="AM5" s="657">
        <v>0</v>
      </c>
      <c r="AN5" s="657">
        <v>0</v>
      </c>
      <c r="AO5" s="657">
        <v>0</v>
      </c>
      <c r="AP5" s="130"/>
      <c r="AR5">
        <f t="shared" ref="AR5:AR36" si="7">AB:AB-AI:AI</f>
        <v>0</v>
      </c>
      <c r="AS5">
        <f t="shared" ref="AS5:AS36" si="8">AC:AC-AJ:AJ</f>
        <v>0</v>
      </c>
      <c r="AT5">
        <f t="shared" ref="AT5:AT36" si="9">AD:AD-AK:AK</f>
        <v>0</v>
      </c>
      <c r="AV5">
        <f t="shared" ref="AV5:AV36" si="10">AE:AE-AM:AM</f>
        <v>0</v>
      </c>
      <c r="AW5">
        <f t="shared" ref="AW5:AW36" si="11">AF:AF-AN:AN</f>
        <v>0</v>
      </c>
      <c r="AX5">
        <f t="shared" ref="AX5:AX36" si="12">AG:AG-AO:AO</f>
        <v>0</v>
      </c>
    </row>
    <row r="6" spans="1:50" ht="15" customHeight="1" x14ac:dyDescent="0.25">
      <c r="A6" s="51" t="s">
        <v>999</v>
      </c>
      <c r="B6" s="20">
        <v>4031</v>
      </c>
      <c r="C6" s="1">
        <v>0</v>
      </c>
      <c r="D6" s="1">
        <v>95840.85</v>
      </c>
      <c r="E6" s="1">
        <v>0</v>
      </c>
      <c r="F6" s="1">
        <v>0</v>
      </c>
      <c r="G6" s="1">
        <v>0</v>
      </c>
      <c r="H6" s="1">
        <v>0</v>
      </c>
      <c r="I6" s="152">
        <f t="shared" si="0"/>
        <v>95840.85</v>
      </c>
      <c r="J6" s="121">
        <v>0</v>
      </c>
      <c r="K6" s="121">
        <v>0</v>
      </c>
      <c r="L6" s="121">
        <v>0</v>
      </c>
      <c r="M6" s="657">
        <f>IF('Plant Total by Account'!$H$1=1,AB6,IF('Plant Total by Account'!$H$1=2,AI6,"Input Toggle"))</f>
        <v>0</v>
      </c>
      <c r="N6" s="657">
        <f>IF('Plant Total by Account'!$H$1=1,AC6,IF('Plant Total by Account'!$H$1=2,AJ6,"Input Toggle"))</f>
        <v>95840.85</v>
      </c>
      <c r="O6" s="657">
        <f>IF('Plant Total by Account'!$H$1=1,AD6,IF('Plant Total by Account'!$H$1=2,AK6,"Input Toggle"))</f>
        <v>0</v>
      </c>
      <c r="P6" s="657">
        <f t="shared" si="1"/>
        <v>0</v>
      </c>
      <c r="Q6" s="657">
        <f t="shared" si="2"/>
        <v>0</v>
      </c>
      <c r="R6" s="657">
        <f t="shared" si="3"/>
        <v>0</v>
      </c>
      <c r="S6" s="657">
        <v>0</v>
      </c>
      <c r="T6" s="657">
        <v>0</v>
      </c>
      <c r="U6" s="657">
        <v>0</v>
      </c>
      <c r="V6" s="657">
        <f>IF('Plant Total by Account'!$H$1=1,AE6,IF('Plant Total by Account'!$H$1=2,AM6,"Input Toggle"))</f>
        <v>0</v>
      </c>
      <c r="W6" s="657">
        <f>IF('Plant Total by Account'!$H$1=1,AF6,IF('Plant Total by Account'!$H$1=2,AN6,"Input Toggle"))</f>
        <v>0</v>
      </c>
      <c r="X6" s="657">
        <f>IF('Plant Total by Account'!$H$1=1,AG6,IF('Plant Total by Account'!$H$1=2,AO6,"Input Toggle"))</f>
        <v>0</v>
      </c>
      <c r="Y6" s="657">
        <f t="shared" si="4"/>
        <v>0</v>
      </c>
      <c r="Z6" s="121">
        <f t="shared" si="5"/>
        <v>0</v>
      </c>
      <c r="AA6" s="121">
        <f t="shared" si="6"/>
        <v>0</v>
      </c>
      <c r="AB6" s="657">
        <f>SUMIF('ISO w_System Splits'!$D$8:$D$469,$B6,'ISO w_System Splits'!G$8:G$469)</f>
        <v>0</v>
      </c>
      <c r="AC6" s="657">
        <f>SUMIF('ISO w_System Splits'!$D$8:$D$469,$B6,'ISO w_System Splits'!H$8:H$469)</f>
        <v>95840.85</v>
      </c>
      <c r="AD6" s="657">
        <f>SUMIF('ISO w_System Splits'!$D$8:$D$469,$B6,'ISO w_System Splits'!I$8:I$469)</f>
        <v>0</v>
      </c>
      <c r="AE6" s="657">
        <v>0</v>
      </c>
      <c r="AF6" s="657">
        <v>0</v>
      </c>
      <c r="AG6" s="657">
        <v>0</v>
      </c>
      <c r="AH6" s="130"/>
      <c r="AI6" s="657">
        <f>SUMIF('ISO w_System Splits'!$D$8:$D$615,$B6,'ISO w_System Splits'!G$8:G$615)-SUMIF('ISO w_System Splits'!$D$470:$D$520,$B6,'ISO w_System Splits'!G$470:G$520)</f>
        <v>0</v>
      </c>
      <c r="AJ6" s="657">
        <f>SUMIF('ISO w_System Splits'!$D$8:$D$615,$B6,'ISO w_System Splits'!H$8:H$615)-SUMIF('ISO w_System Splits'!$D$470:$D$520,$B6,'ISO w_System Splits'!H$470:H$520)</f>
        <v>95840.85</v>
      </c>
      <c r="AK6" s="657">
        <f>SUMIF('ISO w_System Splits'!$D$8:$D$615,$B6,'ISO w_System Splits'!I$8:I$615)-SUMIF('ISO w_System Splits'!$D$470:$D$520,$B6,'ISO w_System Splits'!I$470:I$520)</f>
        <v>0</v>
      </c>
      <c r="AL6" s="130"/>
      <c r="AM6" s="657">
        <v>0</v>
      </c>
      <c r="AN6" s="657">
        <v>0</v>
      </c>
      <c r="AO6" s="657">
        <v>0</v>
      </c>
      <c r="AP6" s="130"/>
      <c r="AR6">
        <f t="shared" si="7"/>
        <v>0</v>
      </c>
      <c r="AS6">
        <f t="shared" si="8"/>
        <v>0</v>
      </c>
      <c r="AT6">
        <f t="shared" si="9"/>
        <v>0</v>
      </c>
      <c r="AV6">
        <f t="shared" si="10"/>
        <v>0</v>
      </c>
      <c r="AW6">
        <f t="shared" si="11"/>
        <v>0</v>
      </c>
      <c r="AX6">
        <f t="shared" si="12"/>
        <v>0</v>
      </c>
    </row>
    <row r="7" spans="1:50" ht="15" customHeight="1" x14ac:dyDescent="0.25">
      <c r="A7" s="51" t="s">
        <v>1000</v>
      </c>
      <c r="B7" s="20">
        <v>4034</v>
      </c>
      <c r="C7" s="1">
        <v>0</v>
      </c>
      <c r="D7" s="1">
        <v>540.83000000000004</v>
      </c>
      <c r="E7" s="1">
        <v>0</v>
      </c>
      <c r="F7" s="1">
        <v>0</v>
      </c>
      <c r="G7" s="1">
        <v>0</v>
      </c>
      <c r="H7" s="1">
        <v>0</v>
      </c>
      <c r="I7" s="152">
        <f t="shared" si="0"/>
        <v>540.83000000000004</v>
      </c>
      <c r="J7" s="121">
        <v>0</v>
      </c>
      <c r="K7" s="121">
        <v>0</v>
      </c>
      <c r="L7" s="121">
        <v>0</v>
      </c>
      <c r="M7" s="657">
        <f>IF('Plant Total by Account'!$H$1=1,AB7,IF('Plant Total by Account'!$H$1=2,AI7,"Input Toggle"))</f>
        <v>0</v>
      </c>
      <c r="N7" s="657">
        <f>IF('Plant Total by Account'!$H$1=1,AC7,IF('Plant Total by Account'!$H$1=2,AJ7,"Input Toggle"))</f>
        <v>540.83000000000004</v>
      </c>
      <c r="O7" s="657">
        <f>IF('Plant Total by Account'!$H$1=1,AD7,IF('Plant Total by Account'!$H$1=2,AK7,"Input Toggle"))</f>
        <v>0</v>
      </c>
      <c r="P7" s="657">
        <f t="shared" si="1"/>
        <v>0</v>
      </c>
      <c r="Q7" s="657">
        <f t="shared" si="2"/>
        <v>0</v>
      </c>
      <c r="R7" s="657">
        <f t="shared" si="3"/>
        <v>0</v>
      </c>
      <c r="S7" s="657">
        <v>0</v>
      </c>
      <c r="T7" s="657">
        <v>0</v>
      </c>
      <c r="U7" s="657">
        <v>0</v>
      </c>
      <c r="V7" s="657">
        <f>IF('Plant Total by Account'!$H$1=1,AE7,IF('Plant Total by Account'!$H$1=2,AM7,"Input Toggle"))</f>
        <v>0</v>
      </c>
      <c r="W7" s="657">
        <f>IF('Plant Total by Account'!$H$1=1,AF7,IF('Plant Total by Account'!$H$1=2,AN7,"Input Toggle"))</f>
        <v>0</v>
      </c>
      <c r="X7" s="657">
        <f>IF('Plant Total by Account'!$H$1=1,AG7,IF('Plant Total by Account'!$H$1=2,AO7,"Input Toggle"))</f>
        <v>0</v>
      </c>
      <c r="Y7" s="657">
        <f t="shared" si="4"/>
        <v>0</v>
      </c>
      <c r="Z7" s="121">
        <f t="shared" si="5"/>
        <v>0</v>
      </c>
      <c r="AA7" s="121">
        <f t="shared" si="6"/>
        <v>0</v>
      </c>
      <c r="AB7" s="657">
        <f>SUMIF('ISO w_System Splits'!$D$8:$D$469,$B7,'ISO w_System Splits'!G$8:G$469)</f>
        <v>0</v>
      </c>
      <c r="AC7" s="657">
        <f>SUMIF('ISO w_System Splits'!$D$8:$D$469,$B7,'ISO w_System Splits'!H$8:H$469)</f>
        <v>540.83000000000004</v>
      </c>
      <c r="AD7" s="657">
        <f>SUMIF('ISO w_System Splits'!$D$8:$D$469,$B7,'ISO w_System Splits'!I$8:I$469)</f>
        <v>0</v>
      </c>
      <c r="AE7" s="657">
        <v>0</v>
      </c>
      <c r="AF7" s="657">
        <v>0</v>
      </c>
      <c r="AG7" s="657">
        <v>0</v>
      </c>
      <c r="AH7" s="130"/>
      <c r="AI7" s="657">
        <f>SUMIF('ISO w_System Splits'!$D$8:$D$615,$B7,'ISO w_System Splits'!G$8:G$615)-SUMIF('ISO w_System Splits'!$D$470:$D$520,$B7,'ISO w_System Splits'!G$470:G$520)</f>
        <v>0</v>
      </c>
      <c r="AJ7" s="657">
        <f>SUMIF('ISO w_System Splits'!$D$8:$D$615,$B7,'ISO w_System Splits'!H$8:H$615)-SUMIF('ISO w_System Splits'!$D$470:$D$520,$B7,'ISO w_System Splits'!H$470:H$520)</f>
        <v>540.83000000000004</v>
      </c>
      <c r="AK7" s="657">
        <f>SUMIF('ISO w_System Splits'!$D$8:$D$615,$B7,'ISO w_System Splits'!I$8:I$615)-SUMIF('ISO w_System Splits'!$D$470:$D$520,$B7,'ISO w_System Splits'!I$470:I$520)</f>
        <v>0</v>
      </c>
      <c r="AL7" s="130"/>
      <c r="AM7" s="657">
        <v>0</v>
      </c>
      <c r="AN7" s="657">
        <v>0</v>
      </c>
      <c r="AO7" s="657">
        <v>0</v>
      </c>
      <c r="AP7" s="130"/>
      <c r="AR7">
        <f t="shared" si="7"/>
        <v>0</v>
      </c>
      <c r="AS7">
        <f t="shared" si="8"/>
        <v>0</v>
      </c>
      <c r="AT7">
        <f t="shared" si="9"/>
        <v>0</v>
      </c>
      <c r="AV7">
        <f t="shared" si="10"/>
        <v>0</v>
      </c>
      <c r="AW7">
        <f t="shared" si="11"/>
        <v>0</v>
      </c>
      <c r="AX7">
        <f t="shared" si="12"/>
        <v>0</v>
      </c>
    </row>
    <row r="8" spans="1:50" ht="15" customHeight="1" x14ac:dyDescent="0.25">
      <c r="A8" s="51" t="s">
        <v>1315</v>
      </c>
      <c r="B8" s="20">
        <v>4045</v>
      </c>
      <c r="C8" s="1">
        <v>179131.19</v>
      </c>
      <c r="D8" s="1">
        <v>0</v>
      </c>
      <c r="E8" s="1">
        <v>0</v>
      </c>
      <c r="F8" s="1">
        <v>0</v>
      </c>
      <c r="G8" s="1">
        <v>0</v>
      </c>
      <c r="H8" s="1">
        <v>0</v>
      </c>
      <c r="I8" s="152">
        <f t="shared" si="0"/>
        <v>179131.19</v>
      </c>
      <c r="J8" s="121">
        <v>0</v>
      </c>
      <c r="K8" s="121">
        <v>0</v>
      </c>
      <c r="L8" s="121">
        <v>0</v>
      </c>
      <c r="M8" s="657">
        <f>IF('Plant Total by Account'!$H$1=1,AB8,IF('Plant Total by Account'!$H$1=2,AI8,"Input Toggle"))</f>
        <v>179131.18999999997</v>
      </c>
      <c r="N8" s="657">
        <f>IF('Plant Total by Account'!$H$1=1,AC8,IF('Plant Total by Account'!$H$1=2,AJ8,"Input Toggle"))</f>
        <v>0</v>
      </c>
      <c r="O8" s="657">
        <f>IF('Plant Total by Account'!$H$1=1,AD8,IF('Plant Total by Account'!$H$1=2,AK8,"Input Toggle"))</f>
        <v>0</v>
      </c>
      <c r="P8" s="657">
        <f t="shared" si="1"/>
        <v>0</v>
      </c>
      <c r="Q8" s="657">
        <f t="shared" si="2"/>
        <v>0</v>
      </c>
      <c r="R8" s="657">
        <f t="shared" si="3"/>
        <v>0</v>
      </c>
      <c r="S8" s="657">
        <v>0</v>
      </c>
      <c r="T8" s="657">
        <v>0</v>
      </c>
      <c r="U8" s="657">
        <v>0</v>
      </c>
      <c r="V8" s="657">
        <f>IF('Plant Total by Account'!$H$1=1,AE8,IF('Plant Total by Account'!$H$1=2,AM8,"Input Toggle"))</f>
        <v>0</v>
      </c>
      <c r="W8" s="657">
        <f>IF('Plant Total by Account'!$H$1=1,AF8,IF('Plant Total by Account'!$H$1=2,AN8,"Input Toggle"))</f>
        <v>0</v>
      </c>
      <c r="X8" s="657">
        <f>IF('Plant Total by Account'!$H$1=1,AG8,IF('Plant Total by Account'!$H$1=2,AO8,"Input Toggle"))</f>
        <v>0</v>
      </c>
      <c r="Y8" s="657">
        <f t="shared" si="4"/>
        <v>0</v>
      </c>
      <c r="Z8" s="121">
        <f t="shared" si="5"/>
        <v>0</v>
      </c>
      <c r="AA8" s="121">
        <f t="shared" si="6"/>
        <v>0</v>
      </c>
      <c r="AB8" s="657">
        <f>SUMIF('ISO w_System Splits'!$D$8:$D$469,$B8,'ISO w_System Splits'!G$8:G$469)</f>
        <v>179131.18999999997</v>
      </c>
      <c r="AC8" s="657">
        <f>SUMIF('ISO w_System Splits'!$D$8:$D$469,$B8,'ISO w_System Splits'!H$8:H$469)</f>
        <v>0</v>
      </c>
      <c r="AD8" s="657">
        <f>SUMIF('ISO w_System Splits'!$D$8:$D$469,$B8,'ISO w_System Splits'!I$8:I$469)</f>
        <v>0</v>
      </c>
      <c r="AE8" s="657">
        <v>0</v>
      </c>
      <c r="AF8" s="657">
        <v>0</v>
      </c>
      <c r="AG8" s="657">
        <v>0</v>
      </c>
      <c r="AH8" s="130"/>
      <c r="AI8" s="657">
        <f>SUMIF('ISO w_System Splits'!$D$8:$D$615,$B8,'ISO w_System Splits'!G$8:G$615)-SUMIF('ISO w_System Splits'!$D$470:$D$520,$B8,'ISO w_System Splits'!G$470:G$520)</f>
        <v>179131.18999999997</v>
      </c>
      <c r="AJ8" s="657">
        <f>SUMIF('ISO w_System Splits'!$D$8:$D$615,$B8,'ISO w_System Splits'!H$8:H$615)-SUMIF('ISO w_System Splits'!$D$470:$D$520,$B8,'ISO w_System Splits'!H$470:H$520)</f>
        <v>0</v>
      </c>
      <c r="AK8" s="657">
        <f>SUMIF('ISO w_System Splits'!$D$8:$D$615,$B8,'ISO w_System Splits'!I$8:I$615)-SUMIF('ISO w_System Splits'!$D$470:$D$520,$B8,'ISO w_System Splits'!I$470:I$520)</f>
        <v>0</v>
      </c>
      <c r="AL8" s="130"/>
      <c r="AM8" s="657">
        <v>0</v>
      </c>
      <c r="AN8" s="657">
        <v>0</v>
      </c>
      <c r="AO8" s="657">
        <v>0</v>
      </c>
      <c r="AP8" s="130"/>
      <c r="AR8">
        <f t="shared" si="7"/>
        <v>0</v>
      </c>
      <c r="AS8">
        <f t="shared" si="8"/>
        <v>0</v>
      </c>
      <c r="AT8">
        <f t="shared" si="9"/>
        <v>0</v>
      </c>
      <c r="AV8">
        <f t="shared" si="10"/>
        <v>0</v>
      </c>
      <c r="AW8">
        <f t="shared" si="11"/>
        <v>0</v>
      </c>
      <c r="AX8">
        <f t="shared" si="12"/>
        <v>0</v>
      </c>
    </row>
    <row r="9" spans="1:50" ht="15" customHeight="1" x14ac:dyDescent="0.25">
      <c r="A9" s="51" t="s">
        <v>1316</v>
      </c>
      <c r="B9" s="20">
        <v>4046</v>
      </c>
      <c r="C9" s="1">
        <v>186657</v>
      </c>
      <c r="D9" s="1">
        <v>0</v>
      </c>
      <c r="E9" s="1">
        <v>0</v>
      </c>
      <c r="F9" s="1">
        <v>0</v>
      </c>
      <c r="G9" s="1">
        <v>0</v>
      </c>
      <c r="H9" s="1">
        <v>0</v>
      </c>
      <c r="I9" s="152">
        <f t="shared" si="0"/>
        <v>186657</v>
      </c>
      <c r="J9" s="121">
        <v>0</v>
      </c>
      <c r="K9" s="121">
        <v>0</v>
      </c>
      <c r="L9" s="121">
        <v>0</v>
      </c>
      <c r="M9" s="657">
        <f>IF('Plant Total by Account'!$H$1=1,AB9,IF('Plant Total by Account'!$H$1=2,AI9,"Input Toggle"))</f>
        <v>186657</v>
      </c>
      <c r="N9" s="657">
        <f>IF('Plant Total by Account'!$H$1=1,AC9,IF('Plant Total by Account'!$H$1=2,AJ9,"Input Toggle"))</f>
        <v>0</v>
      </c>
      <c r="O9" s="657">
        <f>IF('Plant Total by Account'!$H$1=1,AD9,IF('Plant Total by Account'!$H$1=2,AK9,"Input Toggle"))</f>
        <v>0</v>
      </c>
      <c r="P9" s="657">
        <f t="shared" si="1"/>
        <v>0</v>
      </c>
      <c r="Q9" s="657">
        <f t="shared" si="2"/>
        <v>0</v>
      </c>
      <c r="R9" s="657">
        <f t="shared" si="3"/>
        <v>0</v>
      </c>
      <c r="S9" s="657">
        <v>0</v>
      </c>
      <c r="T9" s="657">
        <v>0</v>
      </c>
      <c r="U9" s="657">
        <v>0</v>
      </c>
      <c r="V9" s="657">
        <f>IF('Plant Total by Account'!$H$1=1,AE9,IF('Plant Total by Account'!$H$1=2,AM9,"Input Toggle"))</f>
        <v>0</v>
      </c>
      <c r="W9" s="657">
        <f>IF('Plant Total by Account'!$H$1=1,AF9,IF('Plant Total by Account'!$H$1=2,AN9,"Input Toggle"))</f>
        <v>0</v>
      </c>
      <c r="X9" s="657">
        <f>IF('Plant Total by Account'!$H$1=1,AG9,IF('Plant Total by Account'!$H$1=2,AO9,"Input Toggle"))</f>
        <v>0</v>
      </c>
      <c r="Y9" s="657">
        <f t="shared" si="4"/>
        <v>0</v>
      </c>
      <c r="Z9" s="121">
        <f t="shared" si="5"/>
        <v>0</v>
      </c>
      <c r="AA9" s="121">
        <f t="shared" si="6"/>
        <v>0</v>
      </c>
      <c r="AB9" s="657">
        <f>SUMIF('ISO w_System Splits'!$D$8:$D$469,$B9,'ISO w_System Splits'!G$8:G$469)</f>
        <v>186657</v>
      </c>
      <c r="AC9" s="657">
        <f>SUMIF('ISO w_System Splits'!$D$8:$D$469,$B9,'ISO w_System Splits'!H$8:H$469)</f>
        <v>0</v>
      </c>
      <c r="AD9" s="657">
        <f>SUMIF('ISO w_System Splits'!$D$8:$D$469,$B9,'ISO w_System Splits'!I$8:I$469)</f>
        <v>0</v>
      </c>
      <c r="AE9" s="657">
        <v>0</v>
      </c>
      <c r="AF9" s="657">
        <v>0</v>
      </c>
      <c r="AG9" s="657">
        <v>0</v>
      </c>
      <c r="AH9" s="130"/>
      <c r="AI9" s="657">
        <f>SUMIF('ISO w_System Splits'!$D$8:$D$615,$B9,'ISO w_System Splits'!G$8:G$615)-SUMIF('ISO w_System Splits'!$D$470:$D$520,$B9,'ISO w_System Splits'!G$470:G$520)</f>
        <v>186657</v>
      </c>
      <c r="AJ9" s="657">
        <f>SUMIF('ISO w_System Splits'!$D$8:$D$615,$B9,'ISO w_System Splits'!H$8:H$615)-SUMIF('ISO w_System Splits'!$D$470:$D$520,$B9,'ISO w_System Splits'!H$470:H$520)</f>
        <v>0</v>
      </c>
      <c r="AK9" s="657">
        <f>SUMIF('ISO w_System Splits'!$D$8:$D$615,$B9,'ISO w_System Splits'!I$8:I$615)-SUMIF('ISO w_System Splits'!$D$470:$D$520,$B9,'ISO w_System Splits'!I$470:I$520)</f>
        <v>0</v>
      </c>
      <c r="AL9" s="130"/>
      <c r="AM9" s="657">
        <v>0</v>
      </c>
      <c r="AN9" s="657">
        <v>0</v>
      </c>
      <c r="AO9" s="657">
        <v>0</v>
      </c>
      <c r="AP9" s="130"/>
      <c r="AR9">
        <f t="shared" si="7"/>
        <v>0</v>
      </c>
      <c r="AS9">
        <f t="shared" si="8"/>
        <v>0</v>
      </c>
      <c r="AT9">
        <f t="shared" si="9"/>
        <v>0</v>
      </c>
      <c r="AV9">
        <f t="shared" si="10"/>
        <v>0</v>
      </c>
      <c r="AW9">
        <f t="shared" si="11"/>
        <v>0</v>
      </c>
      <c r="AX9">
        <f t="shared" si="12"/>
        <v>0</v>
      </c>
    </row>
    <row r="10" spans="1:50" ht="15" customHeight="1" x14ac:dyDescent="0.25">
      <c r="A10" s="51" t="s">
        <v>1317</v>
      </c>
      <c r="B10" s="20">
        <v>4059</v>
      </c>
      <c r="C10" s="1">
        <v>13001.630000000001</v>
      </c>
      <c r="D10" s="1">
        <v>0</v>
      </c>
      <c r="E10" s="1">
        <v>0</v>
      </c>
      <c r="F10" s="1">
        <v>0</v>
      </c>
      <c r="G10" s="1">
        <v>0</v>
      </c>
      <c r="H10" s="1">
        <v>0</v>
      </c>
      <c r="I10" s="152">
        <f t="shared" si="0"/>
        <v>13001.630000000001</v>
      </c>
      <c r="J10" s="121">
        <v>0</v>
      </c>
      <c r="K10" s="121">
        <v>0</v>
      </c>
      <c r="L10" s="121">
        <v>0</v>
      </c>
      <c r="M10" s="657">
        <f>IF('Plant Total by Account'!$H$1=1,AB10,IF('Plant Total by Account'!$H$1=2,AI10,"Input Toggle"))</f>
        <v>13001.63</v>
      </c>
      <c r="N10" s="657">
        <f>IF('Plant Total by Account'!$H$1=1,AC10,IF('Plant Total by Account'!$H$1=2,AJ10,"Input Toggle"))</f>
        <v>0</v>
      </c>
      <c r="O10" s="657">
        <f>IF('Plant Total by Account'!$H$1=1,AD10,IF('Plant Total by Account'!$H$1=2,AK10,"Input Toggle"))</f>
        <v>0</v>
      </c>
      <c r="P10" s="657">
        <f t="shared" si="1"/>
        <v>0</v>
      </c>
      <c r="Q10" s="657">
        <f t="shared" si="2"/>
        <v>0</v>
      </c>
      <c r="R10" s="657">
        <f t="shared" si="3"/>
        <v>0</v>
      </c>
      <c r="S10" s="657">
        <v>0</v>
      </c>
      <c r="T10" s="657">
        <v>0</v>
      </c>
      <c r="U10" s="657">
        <v>0</v>
      </c>
      <c r="V10" s="657">
        <f>IF('Plant Total by Account'!$H$1=1,AE10,IF('Plant Total by Account'!$H$1=2,AM10,"Input Toggle"))</f>
        <v>0</v>
      </c>
      <c r="W10" s="657">
        <f>IF('Plant Total by Account'!$H$1=1,AF10,IF('Plant Total by Account'!$H$1=2,AN10,"Input Toggle"))</f>
        <v>0</v>
      </c>
      <c r="X10" s="657">
        <f>IF('Plant Total by Account'!$H$1=1,AG10,IF('Plant Total by Account'!$H$1=2,AO10,"Input Toggle"))</f>
        <v>0</v>
      </c>
      <c r="Y10" s="657">
        <f t="shared" si="4"/>
        <v>0</v>
      </c>
      <c r="Z10" s="121">
        <f t="shared" si="5"/>
        <v>0</v>
      </c>
      <c r="AA10" s="121">
        <f t="shared" si="6"/>
        <v>0</v>
      </c>
      <c r="AB10" s="657">
        <f>SUMIF('ISO w_System Splits'!$D$8:$D$469,$B10,'ISO w_System Splits'!G$8:G$469)</f>
        <v>13001.63</v>
      </c>
      <c r="AC10" s="657">
        <f>SUMIF('ISO w_System Splits'!$D$8:$D$469,$B10,'ISO w_System Splits'!H$8:H$469)</f>
        <v>0</v>
      </c>
      <c r="AD10" s="657">
        <f>SUMIF('ISO w_System Splits'!$D$8:$D$469,$B10,'ISO w_System Splits'!I$8:I$469)</f>
        <v>0</v>
      </c>
      <c r="AE10" s="657">
        <v>0</v>
      </c>
      <c r="AF10" s="657">
        <v>0</v>
      </c>
      <c r="AG10" s="657">
        <v>0</v>
      </c>
      <c r="AH10" s="130"/>
      <c r="AI10" s="657">
        <f>SUMIF('ISO w_System Splits'!$D$8:$D$615,$B10,'ISO w_System Splits'!G$8:G$615)-SUMIF('ISO w_System Splits'!$D$470:$D$520,$B10,'ISO w_System Splits'!G$470:G$520)</f>
        <v>13001.63</v>
      </c>
      <c r="AJ10" s="657">
        <f>SUMIF('ISO w_System Splits'!$D$8:$D$615,$B10,'ISO w_System Splits'!H$8:H$615)-SUMIF('ISO w_System Splits'!$D$470:$D$520,$B10,'ISO w_System Splits'!H$470:H$520)</f>
        <v>0</v>
      </c>
      <c r="AK10" s="657">
        <f>SUMIF('ISO w_System Splits'!$D$8:$D$615,$B10,'ISO w_System Splits'!I$8:I$615)-SUMIF('ISO w_System Splits'!$D$470:$D$520,$B10,'ISO w_System Splits'!I$470:I$520)</f>
        <v>0</v>
      </c>
      <c r="AL10" s="130"/>
      <c r="AM10" s="657">
        <v>0</v>
      </c>
      <c r="AN10" s="657">
        <v>0</v>
      </c>
      <c r="AO10" s="657">
        <v>0</v>
      </c>
      <c r="AP10" s="130"/>
      <c r="AR10">
        <f t="shared" si="7"/>
        <v>0</v>
      </c>
      <c r="AS10">
        <f t="shared" si="8"/>
        <v>0</v>
      </c>
      <c r="AT10">
        <f t="shared" si="9"/>
        <v>0</v>
      </c>
      <c r="AV10">
        <f t="shared" si="10"/>
        <v>0</v>
      </c>
      <c r="AW10">
        <f t="shared" si="11"/>
        <v>0</v>
      </c>
      <c r="AX10">
        <f t="shared" si="12"/>
        <v>0</v>
      </c>
    </row>
    <row r="11" spans="1:50" ht="15" customHeight="1" x14ac:dyDescent="0.25">
      <c r="A11" s="51" t="s">
        <v>1318</v>
      </c>
      <c r="B11" s="20">
        <v>4070</v>
      </c>
      <c r="C11" s="1">
        <v>61040.14</v>
      </c>
      <c r="D11" s="1">
        <v>0</v>
      </c>
      <c r="E11" s="1">
        <v>0</v>
      </c>
      <c r="F11" s="1">
        <v>0</v>
      </c>
      <c r="G11" s="1">
        <v>0</v>
      </c>
      <c r="H11" s="1">
        <v>0</v>
      </c>
      <c r="I11" s="152">
        <f t="shared" si="0"/>
        <v>61040.14</v>
      </c>
      <c r="J11" s="121">
        <v>0</v>
      </c>
      <c r="K11" s="121">
        <v>0</v>
      </c>
      <c r="L11" s="121">
        <v>0</v>
      </c>
      <c r="M11" s="657">
        <f>IF('Plant Total by Account'!$H$1=1,AB11,IF('Plant Total by Account'!$H$1=2,AI11,"Input Toggle"))</f>
        <v>61040.14</v>
      </c>
      <c r="N11" s="657">
        <f>IF('Plant Total by Account'!$H$1=1,AC11,IF('Plant Total by Account'!$H$1=2,AJ11,"Input Toggle"))</f>
        <v>0</v>
      </c>
      <c r="O11" s="657">
        <f>IF('Plant Total by Account'!$H$1=1,AD11,IF('Plant Total by Account'!$H$1=2,AK11,"Input Toggle"))</f>
        <v>0</v>
      </c>
      <c r="P11" s="657">
        <f t="shared" si="1"/>
        <v>0</v>
      </c>
      <c r="Q11" s="657">
        <f t="shared" si="2"/>
        <v>0</v>
      </c>
      <c r="R11" s="657">
        <f t="shared" si="3"/>
        <v>0</v>
      </c>
      <c r="S11" s="657">
        <v>0</v>
      </c>
      <c r="T11" s="657">
        <v>0</v>
      </c>
      <c r="U11" s="657">
        <v>0</v>
      </c>
      <c r="V11" s="657">
        <f>IF('Plant Total by Account'!$H$1=1,AE11,IF('Plant Total by Account'!$H$1=2,AM11,"Input Toggle"))</f>
        <v>0</v>
      </c>
      <c r="W11" s="657">
        <f>IF('Plant Total by Account'!$H$1=1,AF11,IF('Plant Total by Account'!$H$1=2,AN11,"Input Toggle"))</f>
        <v>0</v>
      </c>
      <c r="X11" s="657">
        <f>IF('Plant Total by Account'!$H$1=1,AG11,IF('Plant Total by Account'!$H$1=2,AO11,"Input Toggle"))</f>
        <v>0</v>
      </c>
      <c r="Y11" s="657">
        <f t="shared" si="4"/>
        <v>0</v>
      </c>
      <c r="Z11" s="121">
        <f t="shared" si="5"/>
        <v>0</v>
      </c>
      <c r="AA11" s="121">
        <f t="shared" si="6"/>
        <v>0</v>
      </c>
      <c r="AB11" s="657">
        <f>SUMIF('ISO w_System Splits'!$D$8:$D$469,$B11,'ISO w_System Splits'!G$8:G$469)</f>
        <v>61040.14</v>
      </c>
      <c r="AC11" s="657">
        <f>SUMIF('ISO w_System Splits'!$D$8:$D$469,$B11,'ISO w_System Splits'!H$8:H$469)</f>
        <v>0</v>
      </c>
      <c r="AD11" s="657">
        <f>SUMIF('ISO w_System Splits'!$D$8:$D$469,$B11,'ISO w_System Splits'!I$8:I$469)</f>
        <v>0</v>
      </c>
      <c r="AE11" s="657">
        <v>0</v>
      </c>
      <c r="AF11" s="657">
        <v>0</v>
      </c>
      <c r="AG11" s="657">
        <v>0</v>
      </c>
      <c r="AH11" s="130"/>
      <c r="AI11" s="657">
        <f>SUMIF('ISO w_System Splits'!$D$8:$D$615,$B11,'ISO w_System Splits'!G$8:G$615)-SUMIF('ISO w_System Splits'!$D$470:$D$520,$B11,'ISO w_System Splits'!G$470:G$520)</f>
        <v>61040.14</v>
      </c>
      <c r="AJ11" s="657">
        <f>SUMIF('ISO w_System Splits'!$D$8:$D$615,$B11,'ISO w_System Splits'!H$8:H$615)-SUMIF('ISO w_System Splits'!$D$470:$D$520,$B11,'ISO w_System Splits'!H$470:H$520)</f>
        <v>0</v>
      </c>
      <c r="AK11" s="657">
        <f>SUMIF('ISO w_System Splits'!$D$8:$D$615,$B11,'ISO w_System Splits'!I$8:I$615)-SUMIF('ISO w_System Splits'!$D$470:$D$520,$B11,'ISO w_System Splits'!I$470:I$520)</f>
        <v>0</v>
      </c>
      <c r="AL11" s="130"/>
      <c r="AM11" s="657">
        <v>0</v>
      </c>
      <c r="AN11" s="657">
        <v>0</v>
      </c>
      <c r="AO11" s="657">
        <v>0</v>
      </c>
      <c r="AP11" s="130"/>
      <c r="AR11">
        <f t="shared" si="7"/>
        <v>0</v>
      </c>
      <c r="AS11">
        <f t="shared" si="8"/>
        <v>0</v>
      </c>
      <c r="AT11">
        <f t="shared" si="9"/>
        <v>0</v>
      </c>
      <c r="AV11">
        <f t="shared" si="10"/>
        <v>0</v>
      </c>
      <c r="AW11">
        <f t="shared" si="11"/>
        <v>0</v>
      </c>
      <c r="AX11">
        <f t="shared" si="12"/>
        <v>0</v>
      </c>
    </row>
    <row r="12" spans="1:50" ht="15" customHeight="1" x14ac:dyDescent="0.25">
      <c r="A12" s="51" t="s">
        <v>1432</v>
      </c>
      <c r="B12" s="20">
        <v>4101</v>
      </c>
      <c r="C12" s="1">
        <v>1458517.0799999998</v>
      </c>
      <c r="D12" s="1">
        <v>278181.34999999998</v>
      </c>
      <c r="E12" s="1">
        <v>98474.790000000008</v>
      </c>
      <c r="F12" s="1">
        <v>0</v>
      </c>
      <c r="G12" s="1">
        <v>0</v>
      </c>
      <c r="H12" s="1">
        <v>0</v>
      </c>
      <c r="I12" s="152">
        <f t="shared" si="0"/>
        <v>1835173.2199999997</v>
      </c>
      <c r="J12" s="121">
        <v>0</v>
      </c>
      <c r="K12" s="121">
        <v>0</v>
      </c>
      <c r="L12" s="121">
        <v>0</v>
      </c>
      <c r="M12" s="657">
        <f>IF('Plant Total by Account'!$H$1=1,AB12,IF('Plant Total by Account'!$H$1=2,AI12,"Input Toggle"))</f>
        <v>1418562.1815764289</v>
      </c>
      <c r="N12" s="657">
        <f>IF('Plant Total by Account'!$H$1=1,AC12,IF('Plant Total by Account'!$H$1=2,AJ12,"Input Toggle"))</f>
        <v>270518.33933738939</v>
      </c>
      <c r="O12" s="657">
        <f>IF('Plant Total by Account'!$H$1=1,AD12,IF('Plant Total by Account'!$H$1=2,AK12,"Input Toggle"))</f>
        <v>95762.123008599126</v>
      </c>
      <c r="P12" s="657">
        <f t="shared" si="1"/>
        <v>39954.898423570907</v>
      </c>
      <c r="Q12" s="657">
        <f t="shared" si="2"/>
        <v>7663.0106626105844</v>
      </c>
      <c r="R12" s="657">
        <f t="shared" si="3"/>
        <v>2712.6669914008817</v>
      </c>
      <c r="S12" s="657">
        <v>0</v>
      </c>
      <c r="T12" s="657">
        <v>0</v>
      </c>
      <c r="U12" s="657">
        <v>0</v>
      </c>
      <c r="V12" s="657">
        <f>IF('Plant Total by Account'!$H$1=1,AE12,IF('Plant Total by Account'!$H$1=2,AM12,"Input Toggle"))</f>
        <v>0</v>
      </c>
      <c r="W12" s="657">
        <f>IF('Plant Total by Account'!$H$1=1,AF12,IF('Plant Total by Account'!$H$1=2,AN12,"Input Toggle"))</f>
        <v>0</v>
      </c>
      <c r="X12" s="657">
        <f>IF('Plant Total by Account'!$H$1=1,AG12,IF('Plant Total by Account'!$H$1=2,AO12,"Input Toggle"))</f>
        <v>0</v>
      </c>
      <c r="Y12" s="657">
        <f t="shared" si="4"/>
        <v>0</v>
      </c>
      <c r="Z12" s="121">
        <f t="shared" si="5"/>
        <v>0</v>
      </c>
      <c r="AA12" s="121">
        <f t="shared" si="6"/>
        <v>0</v>
      </c>
      <c r="AB12" s="657">
        <f>SUMIF('ISO w_System Splits'!$D$8:$D$469,$B12,'ISO w_System Splits'!G$8:G$469)</f>
        <v>1418562.1815764289</v>
      </c>
      <c r="AC12" s="657">
        <f>SUMIF('ISO w_System Splits'!$D$8:$D$469,$B12,'ISO w_System Splits'!H$8:H$469)</f>
        <v>270518.33933738939</v>
      </c>
      <c r="AD12" s="657">
        <f>SUMIF('ISO w_System Splits'!$D$8:$D$469,$B12,'ISO w_System Splits'!I$8:I$469)</f>
        <v>95762.123008599126</v>
      </c>
      <c r="AE12" s="657">
        <v>0</v>
      </c>
      <c r="AF12" s="657">
        <v>0</v>
      </c>
      <c r="AG12" s="657">
        <v>0</v>
      </c>
      <c r="AH12" s="130"/>
      <c r="AI12" s="657">
        <f>SUMIF('ISO w_System Splits'!$D$8:$D$615,$B12,'ISO w_System Splits'!G$8:G$615)-SUMIF('ISO w_System Splits'!$D$470:$D$520,$B12,'ISO w_System Splits'!G$470:G$520)</f>
        <v>1418562.1815764289</v>
      </c>
      <c r="AJ12" s="657">
        <f>SUMIF('ISO w_System Splits'!$D$8:$D$615,$B12,'ISO w_System Splits'!H$8:H$615)-SUMIF('ISO w_System Splits'!$D$470:$D$520,$B12,'ISO w_System Splits'!H$470:H$520)</f>
        <v>270518.33933738939</v>
      </c>
      <c r="AK12" s="657">
        <f>SUMIF('ISO w_System Splits'!$D$8:$D$615,$B12,'ISO w_System Splits'!I$8:I$615)-SUMIF('ISO w_System Splits'!$D$470:$D$520,$B12,'ISO w_System Splits'!I$470:I$520)</f>
        <v>95762.123008599126</v>
      </c>
      <c r="AL12" s="130"/>
      <c r="AM12" s="657">
        <v>0</v>
      </c>
      <c r="AN12" s="657">
        <v>0</v>
      </c>
      <c r="AO12" s="657">
        <v>0</v>
      </c>
      <c r="AP12" s="130"/>
      <c r="AR12">
        <f t="shared" si="7"/>
        <v>0</v>
      </c>
      <c r="AS12">
        <f t="shared" si="8"/>
        <v>0</v>
      </c>
      <c r="AT12">
        <f t="shared" si="9"/>
        <v>0</v>
      </c>
      <c r="AV12">
        <f t="shared" si="10"/>
        <v>0</v>
      </c>
      <c r="AW12">
        <f t="shared" si="11"/>
        <v>0</v>
      </c>
      <c r="AX12">
        <f t="shared" si="12"/>
        <v>0</v>
      </c>
    </row>
    <row r="13" spans="1:50" ht="15" customHeight="1" x14ac:dyDescent="0.25">
      <c r="A13" s="51" t="s">
        <v>506</v>
      </c>
      <c r="B13" s="20">
        <v>4102</v>
      </c>
      <c r="C13" s="1">
        <v>1466127.54</v>
      </c>
      <c r="D13" s="1">
        <v>0</v>
      </c>
      <c r="E13" s="1">
        <v>0</v>
      </c>
      <c r="F13" s="1">
        <v>0</v>
      </c>
      <c r="G13" s="1">
        <v>0</v>
      </c>
      <c r="H13" s="1">
        <v>0</v>
      </c>
      <c r="I13" s="152">
        <f t="shared" si="0"/>
        <v>1466127.54</v>
      </c>
      <c r="J13" s="121">
        <v>0</v>
      </c>
      <c r="K13" s="121">
        <v>0</v>
      </c>
      <c r="L13" s="121">
        <v>0</v>
      </c>
      <c r="M13" s="657">
        <f>IF('Plant Total by Account'!$H$1=1,AB13,IF('Plant Total by Account'!$H$1=2,AI13,"Input Toggle"))</f>
        <v>777708.03908957134</v>
      </c>
      <c r="N13" s="657">
        <f>IF('Plant Total by Account'!$H$1=1,AC13,IF('Plant Total by Account'!$H$1=2,AJ13,"Input Toggle"))</f>
        <v>0</v>
      </c>
      <c r="O13" s="657">
        <f>IF('Plant Total by Account'!$H$1=1,AD13,IF('Plant Total by Account'!$H$1=2,AK13,"Input Toggle"))</f>
        <v>0</v>
      </c>
      <c r="P13" s="657">
        <f t="shared" si="1"/>
        <v>688419.5009104287</v>
      </c>
      <c r="Q13" s="657">
        <f t="shared" si="2"/>
        <v>0</v>
      </c>
      <c r="R13" s="657">
        <f t="shared" si="3"/>
        <v>0</v>
      </c>
      <c r="S13" s="657">
        <v>0</v>
      </c>
      <c r="T13" s="657">
        <v>0</v>
      </c>
      <c r="U13" s="657">
        <v>0</v>
      </c>
      <c r="V13" s="657">
        <f>IF('Plant Total by Account'!$H$1=1,AE13,IF('Plant Total by Account'!$H$1=2,AM13,"Input Toggle"))</f>
        <v>0</v>
      </c>
      <c r="W13" s="657">
        <f>IF('Plant Total by Account'!$H$1=1,AF13,IF('Plant Total by Account'!$H$1=2,AN13,"Input Toggle"))</f>
        <v>0</v>
      </c>
      <c r="X13" s="657">
        <f>IF('Plant Total by Account'!$H$1=1,AG13,IF('Plant Total by Account'!$H$1=2,AO13,"Input Toggle"))</f>
        <v>0</v>
      </c>
      <c r="Y13" s="657">
        <f t="shared" si="4"/>
        <v>0</v>
      </c>
      <c r="Z13" s="121">
        <f t="shared" si="5"/>
        <v>0</v>
      </c>
      <c r="AA13" s="121">
        <f t="shared" si="6"/>
        <v>0</v>
      </c>
      <c r="AB13" s="657">
        <f>SUMIF('ISO w_System Splits'!$D$8:$D$469,$B13,'ISO w_System Splits'!G$8:G$469)</f>
        <v>777708.03908957134</v>
      </c>
      <c r="AC13" s="657">
        <f>SUMIF('ISO w_System Splits'!$D$8:$D$469,$B13,'ISO w_System Splits'!H$8:H$469)</f>
        <v>0</v>
      </c>
      <c r="AD13" s="657">
        <f>SUMIF('ISO w_System Splits'!$D$8:$D$469,$B13,'ISO w_System Splits'!I$8:I$469)</f>
        <v>0</v>
      </c>
      <c r="AE13" s="657">
        <v>0</v>
      </c>
      <c r="AF13" s="657">
        <v>0</v>
      </c>
      <c r="AG13" s="657">
        <v>0</v>
      </c>
      <c r="AH13" s="130"/>
      <c r="AI13" s="657">
        <f>SUMIF('ISO w_System Splits'!$D$8:$D$615,$B13,'ISO w_System Splits'!G$8:G$615)-SUMIF('ISO w_System Splits'!$D$470:$D$520,$B13,'ISO w_System Splits'!G$470:G$520)</f>
        <v>777708.03908957134</v>
      </c>
      <c r="AJ13" s="657">
        <f>SUMIF('ISO w_System Splits'!$D$8:$D$615,$B13,'ISO w_System Splits'!H$8:H$615)-SUMIF('ISO w_System Splits'!$D$470:$D$520,$B13,'ISO w_System Splits'!H$470:H$520)</f>
        <v>0</v>
      </c>
      <c r="AK13" s="657">
        <f>SUMIF('ISO w_System Splits'!$D$8:$D$615,$B13,'ISO w_System Splits'!I$8:I$615)-SUMIF('ISO w_System Splits'!$D$470:$D$520,$B13,'ISO w_System Splits'!I$470:I$520)</f>
        <v>0</v>
      </c>
      <c r="AL13" s="130"/>
      <c r="AM13" s="657">
        <v>0</v>
      </c>
      <c r="AN13" s="657">
        <v>0</v>
      </c>
      <c r="AO13" s="657">
        <v>0</v>
      </c>
      <c r="AP13" s="130"/>
      <c r="AR13">
        <f t="shared" si="7"/>
        <v>0</v>
      </c>
      <c r="AS13">
        <f t="shared" si="8"/>
        <v>0</v>
      </c>
      <c r="AT13">
        <f t="shared" si="9"/>
        <v>0</v>
      </c>
      <c r="AV13">
        <f t="shared" si="10"/>
        <v>0</v>
      </c>
      <c r="AW13">
        <f t="shared" si="11"/>
        <v>0</v>
      </c>
      <c r="AX13">
        <f t="shared" si="12"/>
        <v>0</v>
      </c>
    </row>
    <row r="14" spans="1:50" ht="15" customHeight="1" x14ac:dyDescent="0.25">
      <c r="A14" s="51" t="s">
        <v>507</v>
      </c>
      <c r="B14" s="20">
        <v>4104</v>
      </c>
      <c r="C14" s="1">
        <v>1331335.1000000001</v>
      </c>
      <c r="D14" s="1">
        <v>0</v>
      </c>
      <c r="E14" s="1">
        <v>0</v>
      </c>
      <c r="F14" s="1">
        <v>0</v>
      </c>
      <c r="G14" s="1">
        <v>0</v>
      </c>
      <c r="H14" s="1">
        <v>0</v>
      </c>
      <c r="I14" s="152">
        <f t="shared" si="0"/>
        <v>1331335.1000000001</v>
      </c>
      <c r="J14" s="121">
        <v>0</v>
      </c>
      <c r="K14" s="121">
        <v>0</v>
      </c>
      <c r="L14" s="121">
        <v>0</v>
      </c>
      <c r="M14" s="657">
        <f>IF('Plant Total by Account'!$H$1=1,AB14,IF('Plant Total by Account'!$H$1=2,AI14,"Input Toggle"))</f>
        <v>1253514.4942617316</v>
      </c>
      <c r="N14" s="657">
        <f>IF('Plant Total by Account'!$H$1=1,AC14,IF('Plant Total by Account'!$H$1=2,AJ14,"Input Toggle"))</f>
        <v>0</v>
      </c>
      <c r="O14" s="657">
        <f>IF('Plant Total by Account'!$H$1=1,AD14,IF('Plant Total by Account'!$H$1=2,AK14,"Input Toggle"))</f>
        <v>0</v>
      </c>
      <c r="P14" s="657">
        <f t="shared" si="1"/>
        <v>77820.605738268467</v>
      </c>
      <c r="Q14" s="657">
        <f t="shared" si="2"/>
        <v>0</v>
      </c>
      <c r="R14" s="657">
        <f t="shared" si="3"/>
        <v>0</v>
      </c>
      <c r="S14" s="657">
        <v>0</v>
      </c>
      <c r="T14" s="657">
        <v>0</v>
      </c>
      <c r="U14" s="657">
        <v>0</v>
      </c>
      <c r="V14" s="657">
        <f>IF('Plant Total by Account'!$H$1=1,AE14,IF('Plant Total by Account'!$H$1=2,AM14,"Input Toggle"))</f>
        <v>0</v>
      </c>
      <c r="W14" s="657">
        <f>IF('Plant Total by Account'!$H$1=1,AF14,IF('Plant Total by Account'!$H$1=2,AN14,"Input Toggle"))</f>
        <v>0</v>
      </c>
      <c r="X14" s="657">
        <f>IF('Plant Total by Account'!$H$1=1,AG14,IF('Plant Total by Account'!$H$1=2,AO14,"Input Toggle"))</f>
        <v>0</v>
      </c>
      <c r="Y14" s="657">
        <f t="shared" si="4"/>
        <v>0</v>
      </c>
      <c r="Z14" s="121">
        <f t="shared" si="5"/>
        <v>0</v>
      </c>
      <c r="AA14" s="121">
        <f t="shared" si="6"/>
        <v>0</v>
      </c>
      <c r="AB14" s="657">
        <f>SUMIF('ISO w_System Splits'!$D$8:$D$469,$B14,'ISO w_System Splits'!G$8:G$469)</f>
        <v>1253514.4942617316</v>
      </c>
      <c r="AC14" s="657">
        <f>SUMIF('ISO w_System Splits'!$D$8:$D$469,$B14,'ISO w_System Splits'!H$8:H$469)</f>
        <v>0</v>
      </c>
      <c r="AD14" s="657">
        <f>SUMIF('ISO w_System Splits'!$D$8:$D$469,$B14,'ISO w_System Splits'!I$8:I$469)</f>
        <v>0</v>
      </c>
      <c r="AE14" s="657">
        <v>0</v>
      </c>
      <c r="AF14" s="657">
        <v>0</v>
      </c>
      <c r="AG14" s="657">
        <v>0</v>
      </c>
      <c r="AH14" s="130"/>
      <c r="AI14" s="657">
        <f>SUMIF('ISO w_System Splits'!$D$8:$D$615,$B14,'ISO w_System Splits'!G$8:G$615)-SUMIF('ISO w_System Splits'!$D$470:$D$520,$B14,'ISO w_System Splits'!G$470:G$520)</f>
        <v>1253514.4942617316</v>
      </c>
      <c r="AJ14" s="657">
        <f>SUMIF('ISO w_System Splits'!$D$8:$D$615,$B14,'ISO w_System Splits'!H$8:H$615)-SUMIF('ISO w_System Splits'!$D$470:$D$520,$B14,'ISO w_System Splits'!H$470:H$520)</f>
        <v>0</v>
      </c>
      <c r="AK14" s="657">
        <f>SUMIF('ISO w_System Splits'!$D$8:$D$615,$B14,'ISO w_System Splits'!I$8:I$615)-SUMIF('ISO w_System Splits'!$D$470:$D$520,$B14,'ISO w_System Splits'!I$470:I$520)</f>
        <v>0</v>
      </c>
      <c r="AL14" s="130"/>
      <c r="AM14" s="657">
        <v>0</v>
      </c>
      <c r="AN14" s="657">
        <v>0</v>
      </c>
      <c r="AO14" s="657">
        <v>0</v>
      </c>
      <c r="AP14" s="130"/>
      <c r="AR14">
        <f t="shared" si="7"/>
        <v>0</v>
      </c>
      <c r="AS14">
        <f t="shared" si="8"/>
        <v>0</v>
      </c>
      <c r="AT14">
        <f t="shared" si="9"/>
        <v>0</v>
      </c>
      <c r="AV14">
        <f t="shared" si="10"/>
        <v>0</v>
      </c>
      <c r="AW14">
        <f t="shared" si="11"/>
        <v>0</v>
      </c>
      <c r="AX14">
        <f t="shared" si="12"/>
        <v>0</v>
      </c>
    </row>
    <row r="15" spans="1:50" ht="15" customHeight="1" x14ac:dyDescent="0.25">
      <c r="A15" s="51" t="s">
        <v>1440</v>
      </c>
      <c r="B15" s="20">
        <v>4105</v>
      </c>
      <c r="C15" s="1">
        <v>31669555.880000006</v>
      </c>
      <c r="D15" s="1">
        <v>307314.38</v>
      </c>
      <c r="E15" s="1">
        <v>1071634.4200000002</v>
      </c>
      <c r="F15" s="1">
        <v>691617.74</v>
      </c>
      <c r="G15" s="1">
        <v>0</v>
      </c>
      <c r="H15" s="1">
        <v>0</v>
      </c>
      <c r="I15" s="152">
        <f t="shared" si="0"/>
        <v>33740122.420000009</v>
      </c>
      <c r="J15" s="121">
        <v>0</v>
      </c>
      <c r="K15" s="121">
        <v>0</v>
      </c>
      <c r="L15" s="121">
        <v>0</v>
      </c>
      <c r="M15" s="657">
        <f>IF('Plant Total by Account'!$H$1=1,AB15,IF('Plant Total by Account'!$H$1=2,AI15,"Input Toggle"))</f>
        <v>3469110.4013464162</v>
      </c>
      <c r="N15" s="657">
        <f>IF('Plant Total by Account'!$H$1=1,AC15,IF('Plant Total by Account'!$H$1=2,AJ15,"Input Toggle"))</f>
        <v>122152.85737609216</v>
      </c>
      <c r="O15" s="657">
        <f>IF('Plant Total by Account'!$H$1=1,AD15,IF('Plant Total by Account'!$H$1=2,AK15,"Input Toggle"))</f>
        <v>116166.1450978038</v>
      </c>
      <c r="P15" s="657">
        <f t="shared" si="1"/>
        <v>28200445.478653591</v>
      </c>
      <c r="Q15" s="657">
        <f t="shared" si="2"/>
        <v>185161.52262390783</v>
      </c>
      <c r="R15" s="657">
        <f t="shared" si="3"/>
        <v>955468.27490219637</v>
      </c>
      <c r="S15" s="657">
        <v>0</v>
      </c>
      <c r="T15" s="657">
        <v>0</v>
      </c>
      <c r="U15" s="657">
        <v>0</v>
      </c>
      <c r="V15" s="657">
        <f>IF('Plant Total by Account'!$H$1=1,AE15,IF('Plant Total by Account'!$H$1=2,AM15,"Input Toggle"))</f>
        <v>0</v>
      </c>
      <c r="W15" s="657">
        <f>IF('Plant Total by Account'!$H$1=1,AF15,IF('Plant Total by Account'!$H$1=2,AN15,"Input Toggle"))</f>
        <v>0</v>
      </c>
      <c r="X15" s="657">
        <f>IF('Plant Total by Account'!$H$1=1,AG15,IF('Plant Total by Account'!$H$1=2,AO15,"Input Toggle"))</f>
        <v>0</v>
      </c>
      <c r="Y15" s="657">
        <f t="shared" si="4"/>
        <v>691617.74</v>
      </c>
      <c r="Z15" s="121">
        <f t="shared" si="5"/>
        <v>0</v>
      </c>
      <c r="AA15" s="121">
        <f t="shared" si="6"/>
        <v>0</v>
      </c>
      <c r="AB15" s="657">
        <f>SUMIF('ISO w_System Splits'!$D$8:$D$469,$B15,'ISO w_System Splits'!G$8:G$469)</f>
        <v>213521.24447173523</v>
      </c>
      <c r="AC15" s="657">
        <f>SUMIF('ISO w_System Splits'!$D$8:$D$469,$B15,'ISO w_System Splits'!H$8:H$469)</f>
        <v>7518.4203168047516</v>
      </c>
      <c r="AD15" s="657">
        <f>SUMIF('ISO w_System Splits'!$D$8:$D$469,$B15,'ISO w_System Splits'!I$8:I$469)</f>
        <v>7149.9424916371754</v>
      </c>
      <c r="AE15" s="657">
        <v>0</v>
      </c>
      <c r="AF15" s="657">
        <v>0</v>
      </c>
      <c r="AG15" s="657">
        <v>0</v>
      </c>
      <c r="AH15" s="130"/>
      <c r="AI15" s="657">
        <f>SUMIF('ISO w_System Splits'!$D$8:$D$615,$B15,'ISO w_System Splits'!G$8:G$615)-SUMIF('ISO w_System Splits'!$D$470:$D$520,$B15,'ISO w_System Splits'!G$470:G$520)</f>
        <v>3469110.4013464162</v>
      </c>
      <c r="AJ15" s="657">
        <f>SUMIF('ISO w_System Splits'!$D$8:$D$615,$B15,'ISO w_System Splits'!H$8:H$615)-SUMIF('ISO w_System Splits'!$D$470:$D$520,$B15,'ISO w_System Splits'!H$470:H$520)</f>
        <v>122152.85737609216</v>
      </c>
      <c r="AK15" s="657">
        <f>SUMIF('ISO w_System Splits'!$D$8:$D$615,$B15,'ISO w_System Splits'!I$8:I$615)-SUMIF('ISO w_System Splits'!$D$470:$D$520,$B15,'ISO w_System Splits'!I$470:I$520)</f>
        <v>116166.1450978038</v>
      </c>
      <c r="AL15" s="130"/>
      <c r="AM15" s="657">
        <v>0</v>
      </c>
      <c r="AN15" s="657">
        <v>0</v>
      </c>
      <c r="AO15" s="657">
        <v>0</v>
      </c>
      <c r="AP15" s="130"/>
      <c r="AQ15" s="120">
        <v>1</v>
      </c>
      <c r="AR15">
        <f t="shared" si="7"/>
        <v>-3255589.1568746809</v>
      </c>
      <c r="AS15">
        <f t="shared" si="8"/>
        <v>-114634.4370592874</v>
      </c>
      <c r="AT15">
        <f t="shared" si="9"/>
        <v>-109016.20260616663</v>
      </c>
      <c r="AV15">
        <f t="shared" si="10"/>
        <v>0</v>
      </c>
      <c r="AW15">
        <f t="shared" si="11"/>
        <v>0</v>
      </c>
      <c r="AX15">
        <f t="shared" si="12"/>
        <v>0</v>
      </c>
    </row>
    <row r="16" spans="1:50" ht="15" customHeight="1" x14ac:dyDescent="0.25">
      <c r="A16" s="51" t="s">
        <v>508</v>
      </c>
      <c r="B16" s="20">
        <v>4106</v>
      </c>
      <c r="C16" s="1">
        <v>563121.10000000009</v>
      </c>
      <c r="D16" s="1">
        <v>0</v>
      </c>
      <c r="E16" s="1">
        <v>0</v>
      </c>
      <c r="F16" s="1">
        <v>0</v>
      </c>
      <c r="G16" s="1">
        <v>0</v>
      </c>
      <c r="H16" s="1">
        <v>0</v>
      </c>
      <c r="I16" s="152">
        <f t="shared" si="0"/>
        <v>563121.10000000009</v>
      </c>
      <c r="J16" s="121">
        <v>0</v>
      </c>
      <c r="K16" s="121">
        <v>0</v>
      </c>
      <c r="L16" s="121">
        <v>0</v>
      </c>
      <c r="M16" s="657">
        <f>IF('Plant Total by Account'!$H$1=1,AB16,IF('Plant Total by Account'!$H$1=2,AI16,"Input Toggle"))</f>
        <v>1303.1386957310856</v>
      </c>
      <c r="N16" s="657">
        <f>IF('Plant Total by Account'!$H$1=1,AC16,IF('Plant Total by Account'!$H$1=2,AJ16,"Input Toggle"))</f>
        <v>0</v>
      </c>
      <c r="O16" s="657">
        <f>IF('Plant Total by Account'!$H$1=1,AD16,IF('Plant Total by Account'!$H$1=2,AK16,"Input Toggle"))</f>
        <v>0</v>
      </c>
      <c r="P16" s="657">
        <f t="shared" si="1"/>
        <v>561817.96130426903</v>
      </c>
      <c r="Q16" s="657">
        <f t="shared" si="2"/>
        <v>0</v>
      </c>
      <c r="R16" s="657">
        <f t="shared" si="3"/>
        <v>0</v>
      </c>
      <c r="S16" s="657">
        <v>0</v>
      </c>
      <c r="T16" s="657">
        <v>0</v>
      </c>
      <c r="U16" s="657">
        <v>0</v>
      </c>
      <c r="V16" s="657">
        <f>IF('Plant Total by Account'!$H$1=1,AE16,IF('Plant Total by Account'!$H$1=2,AM16,"Input Toggle"))</f>
        <v>0</v>
      </c>
      <c r="W16" s="657">
        <f>IF('Plant Total by Account'!$H$1=1,AF16,IF('Plant Total by Account'!$H$1=2,AN16,"Input Toggle"))</f>
        <v>0</v>
      </c>
      <c r="X16" s="657">
        <f>IF('Plant Total by Account'!$H$1=1,AG16,IF('Plant Total by Account'!$H$1=2,AO16,"Input Toggle"))</f>
        <v>0</v>
      </c>
      <c r="Y16" s="657">
        <f t="shared" si="4"/>
        <v>0</v>
      </c>
      <c r="Z16" s="121">
        <f t="shared" si="5"/>
        <v>0</v>
      </c>
      <c r="AA16" s="121">
        <f t="shared" si="6"/>
        <v>0</v>
      </c>
      <c r="AB16" s="657">
        <f>SUMIF('ISO w_System Splits'!$D$8:$D$469,$B16,'ISO w_System Splits'!G$8:G$469)</f>
        <v>0</v>
      </c>
      <c r="AC16" s="657">
        <f>SUMIF('ISO w_System Splits'!$D$8:$D$469,$B16,'ISO w_System Splits'!H$8:H$469)</f>
        <v>0</v>
      </c>
      <c r="AD16" s="657">
        <f>SUMIF('ISO w_System Splits'!$D$8:$D$469,$B16,'ISO w_System Splits'!I$8:I$469)</f>
        <v>0</v>
      </c>
      <c r="AE16" s="657">
        <v>0</v>
      </c>
      <c r="AF16" s="657">
        <v>0</v>
      </c>
      <c r="AG16" s="657">
        <v>0</v>
      </c>
      <c r="AH16" s="130"/>
      <c r="AI16" s="657">
        <f>SUMIF('ISO w_System Splits'!$D$8:$D$615,$B16,'ISO w_System Splits'!G$8:G$615)-SUMIF('ISO w_System Splits'!$D$470:$D$520,$B16,'ISO w_System Splits'!G$470:G$520)</f>
        <v>1303.1386957310856</v>
      </c>
      <c r="AJ16" s="657">
        <f>SUMIF('ISO w_System Splits'!$D$8:$D$615,$B16,'ISO w_System Splits'!H$8:H$615)-SUMIF('ISO w_System Splits'!$D$470:$D$520,$B16,'ISO w_System Splits'!H$470:H$520)</f>
        <v>0</v>
      </c>
      <c r="AK16" s="657">
        <f>SUMIF('ISO w_System Splits'!$D$8:$D$615,$B16,'ISO w_System Splits'!I$8:I$615)-SUMIF('ISO w_System Splits'!$D$470:$D$520,$B16,'ISO w_System Splits'!I$470:I$520)</f>
        <v>0</v>
      </c>
      <c r="AL16" s="130"/>
      <c r="AM16" s="657">
        <v>0</v>
      </c>
      <c r="AN16" s="657">
        <v>0</v>
      </c>
      <c r="AO16" s="657">
        <v>0</v>
      </c>
      <c r="AP16" s="130"/>
      <c r="AQ16" s="120">
        <v>1</v>
      </c>
      <c r="AR16">
        <f t="shared" si="7"/>
        <v>-1303.1386957310856</v>
      </c>
      <c r="AS16">
        <f t="shared" si="8"/>
        <v>0</v>
      </c>
      <c r="AT16">
        <f t="shared" si="9"/>
        <v>0</v>
      </c>
      <c r="AV16">
        <f t="shared" si="10"/>
        <v>0</v>
      </c>
      <c r="AW16">
        <f t="shared" si="11"/>
        <v>0</v>
      </c>
      <c r="AX16">
        <f t="shared" si="12"/>
        <v>0</v>
      </c>
    </row>
    <row r="17" spans="1:50" ht="15" customHeight="1" x14ac:dyDescent="0.25">
      <c r="A17" s="51" t="s">
        <v>1433</v>
      </c>
      <c r="B17" s="20">
        <v>4107</v>
      </c>
      <c r="C17" s="1">
        <v>2639356.88</v>
      </c>
      <c r="D17" s="1">
        <v>303336.46999999997</v>
      </c>
      <c r="E17" s="1">
        <v>0</v>
      </c>
      <c r="F17" s="1">
        <v>0</v>
      </c>
      <c r="G17" s="1">
        <v>0</v>
      </c>
      <c r="H17" s="1">
        <v>0</v>
      </c>
      <c r="I17" s="152">
        <f t="shared" si="0"/>
        <v>2942693.3499999996</v>
      </c>
      <c r="J17" s="121">
        <v>0</v>
      </c>
      <c r="K17" s="121">
        <v>0</v>
      </c>
      <c r="L17" s="121">
        <v>0</v>
      </c>
      <c r="M17" s="657">
        <f>IF('Plant Total by Account'!$H$1=1,AB17,IF('Plant Total by Account'!$H$1=2,AI17,"Input Toggle"))</f>
        <v>2399012.7348375577</v>
      </c>
      <c r="N17" s="657">
        <f>IF('Plant Total by Account'!$H$1=1,AC17,IF('Plant Total by Account'!$H$1=2,AJ17,"Input Toggle"))</f>
        <v>296715.87401653378</v>
      </c>
      <c r="O17" s="657">
        <f>IF('Plant Total by Account'!$H$1=1,AD17,IF('Plant Total by Account'!$H$1=2,AK17,"Input Toggle"))</f>
        <v>0</v>
      </c>
      <c r="P17" s="657">
        <f t="shared" si="1"/>
        <v>240344.14516244223</v>
      </c>
      <c r="Q17" s="657">
        <f t="shared" si="2"/>
        <v>6620.5959834661917</v>
      </c>
      <c r="R17" s="657">
        <f t="shared" si="3"/>
        <v>0</v>
      </c>
      <c r="S17" s="657">
        <v>0</v>
      </c>
      <c r="T17" s="657">
        <v>0</v>
      </c>
      <c r="U17" s="657">
        <v>0</v>
      </c>
      <c r="V17" s="657">
        <f>IF('Plant Total by Account'!$H$1=1,AE17,IF('Plant Total by Account'!$H$1=2,AM17,"Input Toggle"))</f>
        <v>0</v>
      </c>
      <c r="W17" s="657">
        <f>IF('Plant Total by Account'!$H$1=1,AF17,IF('Plant Total by Account'!$H$1=2,AN17,"Input Toggle"))</f>
        <v>0</v>
      </c>
      <c r="X17" s="657">
        <f>IF('Plant Total by Account'!$H$1=1,AG17,IF('Plant Total by Account'!$H$1=2,AO17,"Input Toggle"))</f>
        <v>0</v>
      </c>
      <c r="Y17" s="657">
        <f t="shared" si="4"/>
        <v>0</v>
      </c>
      <c r="Z17" s="121">
        <f t="shared" si="5"/>
        <v>0</v>
      </c>
      <c r="AA17" s="121">
        <f t="shared" si="6"/>
        <v>0</v>
      </c>
      <c r="AB17" s="657">
        <f>SUMIF('ISO w_System Splits'!$D$8:$D$469,$B17,'ISO w_System Splits'!G$8:G$469)</f>
        <v>2399012.7348375577</v>
      </c>
      <c r="AC17" s="657">
        <f>SUMIF('ISO w_System Splits'!$D$8:$D$469,$B17,'ISO w_System Splits'!H$8:H$469)</f>
        <v>296715.87401653378</v>
      </c>
      <c r="AD17" s="657">
        <f>SUMIF('ISO w_System Splits'!$D$8:$D$469,$B17,'ISO w_System Splits'!I$8:I$469)</f>
        <v>0</v>
      </c>
      <c r="AE17" s="657">
        <v>0</v>
      </c>
      <c r="AF17" s="657">
        <v>0</v>
      </c>
      <c r="AG17" s="657">
        <v>0</v>
      </c>
      <c r="AH17" s="130"/>
      <c r="AI17" s="657">
        <f>SUMIF('ISO w_System Splits'!$D$8:$D$615,$B17,'ISO w_System Splits'!G$8:G$615)-SUMIF('ISO w_System Splits'!$D$470:$D$520,$B17,'ISO w_System Splits'!G$470:G$520)</f>
        <v>2399012.7348375577</v>
      </c>
      <c r="AJ17" s="657">
        <f>SUMIF('ISO w_System Splits'!$D$8:$D$615,$B17,'ISO w_System Splits'!H$8:H$615)-SUMIF('ISO w_System Splits'!$D$470:$D$520,$B17,'ISO w_System Splits'!H$470:H$520)</f>
        <v>296715.87401653378</v>
      </c>
      <c r="AK17" s="657">
        <f>SUMIF('ISO w_System Splits'!$D$8:$D$615,$B17,'ISO w_System Splits'!I$8:I$615)-SUMIF('ISO w_System Splits'!$D$470:$D$520,$B17,'ISO w_System Splits'!I$470:I$520)</f>
        <v>0</v>
      </c>
      <c r="AL17" s="130"/>
      <c r="AM17" s="657">
        <v>0</v>
      </c>
      <c r="AN17" s="657">
        <v>0</v>
      </c>
      <c r="AO17" s="657">
        <v>0</v>
      </c>
      <c r="AP17" s="130"/>
      <c r="AR17">
        <f t="shared" si="7"/>
        <v>0</v>
      </c>
      <c r="AS17">
        <f t="shared" si="8"/>
        <v>0</v>
      </c>
      <c r="AT17">
        <f t="shared" si="9"/>
        <v>0</v>
      </c>
      <c r="AV17">
        <f t="shared" si="10"/>
        <v>0</v>
      </c>
      <c r="AW17">
        <f t="shared" si="11"/>
        <v>0</v>
      </c>
      <c r="AX17">
        <f t="shared" si="12"/>
        <v>0</v>
      </c>
    </row>
    <row r="18" spans="1:50" ht="15" customHeight="1" x14ac:dyDescent="0.25">
      <c r="A18" s="51" t="s">
        <v>1434</v>
      </c>
      <c r="B18" s="20">
        <v>4108</v>
      </c>
      <c r="C18" s="1">
        <v>8067990.54</v>
      </c>
      <c r="D18" s="1">
        <v>3035776.63</v>
      </c>
      <c r="E18" s="1">
        <v>0</v>
      </c>
      <c r="F18" s="1">
        <v>0</v>
      </c>
      <c r="G18" s="1">
        <v>0</v>
      </c>
      <c r="H18" s="1">
        <v>0</v>
      </c>
      <c r="I18" s="152">
        <f t="shared" si="0"/>
        <v>11103767.17</v>
      </c>
      <c r="J18" s="121">
        <v>0</v>
      </c>
      <c r="K18" s="121">
        <v>0</v>
      </c>
      <c r="L18" s="121">
        <v>0</v>
      </c>
      <c r="M18" s="657">
        <f>IF('Plant Total by Account'!$H$1=1,AB18,IF('Plant Total by Account'!$H$1=2,AI18,"Input Toggle"))</f>
        <v>8067990.540000001</v>
      </c>
      <c r="N18" s="657">
        <f>IF('Plant Total by Account'!$H$1=1,AC18,IF('Plant Total by Account'!$H$1=2,AJ18,"Input Toggle"))</f>
        <v>3035776.63</v>
      </c>
      <c r="O18" s="657">
        <f>IF('Plant Total by Account'!$H$1=1,AD18,IF('Plant Total by Account'!$H$1=2,AK18,"Input Toggle"))</f>
        <v>0</v>
      </c>
      <c r="P18" s="657">
        <f t="shared" si="1"/>
        <v>0</v>
      </c>
      <c r="Q18" s="657">
        <f t="shared" si="2"/>
        <v>0</v>
      </c>
      <c r="R18" s="657">
        <f t="shared" si="3"/>
        <v>0</v>
      </c>
      <c r="S18" s="657">
        <v>0</v>
      </c>
      <c r="T18" s="657">
        <v>0</v>
      </c>
      <c r="U18" s="657">
        <v>0</v>
      </c>
      <c r="V18" s="657">
        <f>IF('Plant Total by Account'!$H$1=1,AE18,IF('Plant Total by Account'!$H$1=2,AM18,"Input Toggle"))</f>
        <v>0</v>
      </c>
      <c r="W18" s="657">
        <f>IF('Plant Total by Account'!$H$1=1,AF18,IF('Plant Total by Account'!$H$1=2,AN18,"Input Toggle"))</f>
        <v>0</v>
      </c>
      <c r="X18" s="657">
        <f>IF('Plant Total by Account'!$H$1=1,AG18,IF('Plant Total by Account'!$H$1=2,AO18,"Input Toggle"))</f>
        <v>0</v>
      </c>
      <c r="Y18" s="657">
        <f t="shared" si="4"/>
        <v>0</v>
      </c>
      <c r="Z18" s="121">
        <f t="shared" si="5"/>
        <v>0</v>
      </c>
      <c r="AA18" s="121">
        <f t="shared" si="6"/>
        <v>0</v>
      </c>
      <c r="AB18" s="657">
        <f>SUMIF('ISO w_System Splits'!$D$8:$D$469,$B18,'ISO w_System Splits'!G$8:G$469)</f>
        <v>8067990.540000001</v>
      </c>
      <c r="AC18" s="657">
        <f>SUMIF('ISO w_System Splits'!$D$8:$D$469,$B18,'ISO w_System Splits'!H$8:H$469)</f>
        <v>3035776.63</v>
      </c>
      <c r="AD18" s="657">
        <f>SUMIF('ISO w_System Splits'!$D$8:$D$469,$B18,'ISO w_System Splits'!I$8:I$469)</f>
        <v>0</v>
      </c>
      <c r="AE18" s="657">
        <v>0</v>
      </c>
      <c r="AF18" s="657">
        <v>0</v>
      </c>
      <c r="AG18" s="657">
        <v>0</v>
      </c>
      <c r="AH18" s="130"/>
      <c r="AI18" s="657">
        <f>SUMIF('ISO w_System Splits'!$D$8:$D$615,$B18,'ISO w_System Splits'!G$8:G$615)-SUMIF('ISO w_System Splits'!$D$470:$D$520,$B18,'ISO w_System Splits'!G$470:G$520)</f>
        <v>8067990.540000001</v>
      </c>
      <c r="AJ18" s="657">
        <f>SUMIF('ISO w_System Splits'!$D$8:$D$615,$B18,'ISO w_System Splits'!H$8:H$615)-SUMIF('ISO w_System Splits'!$D$470:$D$520,$B18,'ISO w_System Splits'!H$470:H$520)</f>
        <v>3035776.63</v>
      </c>
      <c r="AK18" s="657">
        <f>SUMIF('ISO w_System Splits'!$D$8:$D$615,$B18,'ISO w_System Splits'!I$8:I$615)-SUMIF('ISO w_System Splits'!$D$470:$D$520,$B18,'ISO w_System Splits'!I$470:I$520)</f>
        <v>0</v>
      </c>
      <c r="AL18" s="130"/>
      <c r="AM18" s="657">
        <v>0</v>
      </c>
      <c r="AN18" s="657">
        <v>0</v>
      </c>
      <c r="AO18" s="657">
        <v>0</v>
      </c>
      <c r="AP18" s="130"/>
      <c r="AR18">
        <f t="shared" si="7"/>
        <v>0</v>
      </c>
      <c r="AS18">
        <f t="shared" si="8"/>
        <v>0</v>
      </c>
      <c r="AT18">
        <f t="shared" si="9"/>
        <v>0</v>
      </c>
      <c r="AV18">
        <f t="shared" si="10"/>
        <v>0</v>
      </c>
      <c r="AW18">
        <f t="shared" si="11"/>
        <v>0</v>
      </c>
      <c r="AX18">
        <f t="shared" si="12"/>
        <v>0</v>
      </c>
    </row>
    <row r="19" spans="1:50" ht="15" customHeight="1" x14ac:dyDescent="0.25">
      <c r="A19" s="51" t="s">
        <v>1319</v>
      </c>
      <c r="B19" s="20">
        <v>4111</v>
      </c>
      <c r="C19" s="1">
        <v>1943.6299999999999</v>
      </c>
      <c r="D19" s="1">
        <v>0</v>
      </c>
      <c r="E19" s="1">
        <v>0</v>
      </c>
      <c r="F19" s="1">
        <v>0</v>
      </c>
      <c r="G19" s="1">
        <v>0</v>
      </c>
      <c r="H19" s="1">
        <v>0</v>
      </c>
      <c r="I19" s="152">
        <f t="shared" si="0"/>
        <v>1943.6299999999999</v>
      </c>
      <c r="J19" s="121">
        <v>0</v>
      </c>
      <c r="K19" s="121">
        <v>0</v>
      </c>
      <c r="L19" s="121">
        <v>0</v>
      </c>
      <c r="M19" s="657">
        <f>IF('Plant Total by Account'!$H$1=1,AB19,IF('Plant Total by Account'!$H$1=2,AI19,"Input Toggle"))</f>
        <v>1943.6300000000006</v>
      </c>
      <c r="N19" s="657">
        <f>IF('Plant Total by Account'!$H$1=1,AC19,IF('Plant Total by Account'!$H$1=2,AJ19,"Input Toggle"))</f>
        <v>0</v>
      </c>
      <c r="O19" s="657">
        <f>IF('Plant Total by Account'!$H$1=1,AD19,IF('Plant Total by Account'!$H$1=2,AK19,"Input Toggle"))</f>
        <v>0</v>
      </c>
      <c r="P19" s="657">
        <f t="shared" si="1"/>
        <v>0</v>
      </c>
      <c r="Q19" s="657">
        <f t="shared" si="2"/>
        <v>0</v>
      </c>
      <c r="R19" s="657">
        <f t="shared" si="3"/>
        <v>0</v>
      </c>
      <c r="S19" s="657">
        <v>0</v>
      </c>
      <c r="T19" s="657">
        <v>0</v>
      </c>
      <c r="U19" s="657">
        <v>0</v>
      </c>
      <c r="V19" s="657">
        <f>IF('Plant Total by Account'!$H$1=1,AE19,IF('Plant Total by Account'!$H$1=2,AM19,"Input Toggle"))</f>
        <v>0</v>
      </c>
      <c r="W19" s="657">
        <f>IF('Plant Total by Account'!$H$1=1,AF19,IF('Plant Total by Account'!$H$1=2,AN19,"Input Toggle"))</f>
        <v>0</v>
      </c>
      <c r="X19" s="657">
        <f>IF('Plant Total by Account'!$H$1=1,AG19,IF('Plant Total by Account'!$H$1=2,AO19,"Input Toggle"))</f>
        <v>0</v>
      </c>
      <c r="Y19" s="657">
        <f t="shared" si="4"/>
        <v>0</v>
      </c>
      <c r="Z19" s="121">
        <f t="shared" si="5"/>
        <v>0</v>
      </c>
      <c r="AA19" s="121">
        <f t="shared" si="6"/>
        <v>0</v>
      </c>
      <c r="AB19" s="657">
        <f>SUMIF('ISO w_System Splits'!$D$8:$D$469,$B19,'ISO w_System Splits'!G$8:G$469)</f>
        <v>1943.6300000000006</v>
      </c>
      <c r="AC19" s="657">
        <f>SUMIF('ISO w_System Splits'!$D$8:$D$469,$B19,'ISO w_System Splits'!H$8:H$469)</f>
        <v>0</v>
      </c>
      <c r="AD19" s="657">
        <f>SUMIF('ISO w_System Splits'!$D$8:$D$469,$B19,'ISO w_System Splits'!I$8:I$469)</f>
        <v>0</v>
      </c>
      <c r="AE19" s="657">
        <v>0</v>
      </c>
      <c r="AF19" s="657">
        <v>0</v>
      </c>
      <c r="AG19" s="657">
        <v>0</v>
      </c>
      <c r="AH19" s="130"/>
      <c r="AI19" s="657">
        <f>SUMIF('ISO w_System Splits'!$D$8:$D$615,$B19,'ISO w_System Splits'!G$8:G$615)-SUMIF('ISO w_System Splits'!$D$470:$D$520,$B19,'ISO w_System Splits'!G$470:G$520)</f>
        <v>1943.6300000000006</v>
      </c>
      <c r="AJ19" s="657">
        <f>SUMIF('ISO w_System Splits'!$D$8:$D$615,$B19,'ISO w_System Splits'!H$8:H$615)-SUMIF('ISO w_System Splits'!$D$470:$D$520,$B19,'ISO w_System Splits'!H$470:H$520)</f>
        <v>0</v>
      </c>
      <c r="AK19" s="657">
        <f>SUMIF('ISO w_System Splits'!$D$8:$D$615,$B19,'ISO w_System Splits'!I$8:I$615)-SUMIF('ISO w_System Splits'!$D$470:$D$520,$B19,'ISO w_System Splits'!I$470:I$520)</f>
        <v>0</v>
      </c>
      <c r="AL19" s="130"/>
      <c r="AM19" s="657">
        <v>0</v>
      </c>
      <c r="AN19" s="657">
        <v>0</v>
      </c>
      <c r="AO19" s="657">
        <v>0</v>
      </c>
      <c r="AP19" s="130"/>
      <c r="AR19">
        <f t="shared" si="7"/>
        <v>0</v>
      </c>
      <c r="AS19">
        <f t="shared" si="8"/>
        <v>0</v>
      </c>
      <c r="AT19">
        <f t="shared" si="9"/>
        <v>0</v>
      </c>
      <c r="AV19">
        <f t="shared" si="10"/>
        <v>0</v>
      </c>
      <c r="AW19">
        <f t="shared" si="11"/>
        <v>0</v>
      </c>
      <c r="AX19">
        <f t="shared" si="12"/>
        <v>0</v>
      </c>
    </row>
    <row r="20" spans="1:50" ht="15" customHeight="1" x14ac:dyDescent="0.25">
      <c r="A20" s="51" t="s">
        <v>1320</v>
      </c>
      <c r="B20" s="20">
        <v>4113</v>
      </c>
      <c r="C20" s="1">
        <v>874871.71</v>
      </c>
      <c r="D20" s="1">
        <v>0</v>
      </c>
      <c r="E20" s="1">
        <v>0</v>
      </c>
      <c r="F20" s="1">
        <v>0</v>
      </c>
      <c r="G20" s="1">
        <v>0</v>
      </c>
      <c r="H20" s="1">
        <v>0</v>
      </c>
      <c r="I20" s="152">
        <f t="shared" si="0"/>
        <v>874871.71</v>
      </c>
      <c r="J20" s="121">
        <v>0</v>
      </c>
      <c r="K20" s="121">
        <v>0</v>
      </c>
      <c r="L20" s="121">
        <v>0</v>
      </c>
      <c r="M20" s="657">
        <f>IF('Plant Total by Account'!$H$1=1,AB20,IF('Plant Total by Account'!$H$1=2,AI20,"Input Toggle"))</f>
        <v>866527.70676984976</v>
      </c>
      <c r="N20" s="657">
        <f>IF('Plant Total by Account'!$H$1=1,AC20,IF('Plant Total by Account'!$H$1=2,AJ20,"Input Toggle"))</f>
        <v>0</v>
      </c>
      <c r="O20" s="657">
        <f>IF('Plant Total by Account'!$H$1=1,AD20,IF('Plant Total by Account'!$H$1=2,AK20,"Input Toggle"))</f>
        <v>0</v>
      </c>
      <c r="P20" s="657">
        <f t="shared" si="1"/>
        <v>8344.0032301502069</v>
      </c>
      <c r="Q20" s="657">
        <f t="shared" si="2"/>
        <v>0</v>
      </c>
      <c r="R20" s="657">
        <f t="shared" si="3"/>
        <v>0</v>
      </c>
      <c r="S20" s="657">
        <v>0</v>
      </c>
      <c r="T20" s="657">
        <v>0</v>
      </c>
      <c r="U20" s="657">
        <v>0</v>
      </c>
      <c r="V20" s="657">
        <f>IF('Plant Total by Account'!$H$1=1,AE20,IF('Plant Total by Account'!$H$1=2,AM20,"Input Toggle"))</f>
        <v>0</v>
      </c>
      <c r="W20" s="657">
        <f>IF('Plant Total by Account'!$H$1=1,AF20,IF('Plant Total by Account'!$H$1=2,AN20,"Input Toggle"))</f>
        <v>0</v>
      </c>
      <c r="X20" s="657">
        <f>IF('Plant Total by Account'!$H$1=1,AG20,IF('Plant Total by Account'!$H$1=2,AO20,"Input Toggle"))</f>
        <v>0</v>
      </c>
      <c r="Y20" s="657">
        <f t="shared" si="4"/>
        <v>0</v>
      </c>
      <c r="Z20" s="121">
        <f t="shared" si="5"/>
        <v>0</v>
      </c>
      <c r="AA20" s="121">
        <f t="shared" si="6"/>
        <v>0</v>
      </c>
      <c r="AB20" s="657">
        <f>SUMIF('ISO w_System Splits'!$D$8:$D$469,$B20,'ISO w_System Splits'!G$8:G$469)</f>
        <v>866527.70676984976</v>
      </c>
      <c r="AC20" s="657">
        <f>SUMIF('ISO w_System Splits'!$D$8:$D$469,$B20,'ISO w_System Splits'!H$8:H$469)</f>
        <v>0</v>
      </c>
      <c r="AD20" s="657">
        <f>SUMIF('ISO w_System Splits'!$D$8:$D$469,$B20,'ISO w_System Splits'!I$8:I$469)</f>
        <v>0</v>
      </c>
      <c r="AE20" s="657">
        <v>0</v>
      </c>
      <c r="AF20" s="657">
        <v>0</v>
      </c>
      <c r="AG20" s="657">
        <v>0</v>
      </c>
      <c r="AH20" s="130"/>
      <c r="AI20" s="657">
        <f>SUMIF('ISO w_System Splits'!$D$8:$D$615,$B20,'ISO w_System Splits'!G$8:G$615)-SUMIF('ISO w_System Splits'!$D$470:$D$520,$B20,'ISO w_System Splits'!G$470:G$520)</f>
        <v>866527.70676984976</v>
      </c>
      <c r="AJ20" s="657">
        <f>SUMIF('ISO w_System Splits'!$D$8:$D$615,$B20,'ISO w_System Splits'!H$8:H$615)-SUMIF('ISO w_System Splits'!$D$470:$D$520,$B20,'ISO w_System Splits'!H$470:H$520)</f>
        <v>0</v>
      </c>
      <c r="AK20" s="657">
        <f>SUMIF('ISO w_System Splits'!$D$8:$D$615,$B20,'ISO w_System Splits'!I$8:I$615)-SUMIF('ISO w_System Splits'!$D$470:$D$520,$B20,'ISO w_System Splits'!I$470:I$520)</f>
        <v>0</v>
      </c>
      <c r="AL20" s="130"/>
      <c r="AM20" s="657">
        <v>0</v>
      </c>
      <c r="AN20" s="657">
        <v>0</v>
      </c>
      <c r="AO20" s="657">
        <v>0</v>
      </c>
      <c r="AP20" s="130"/>
      <c r="AR20">
        <f t="shared" si="7"/>
        <v>0</v>
      </c>
      <c r="AS20">
        <f t="shared" si="8"/>
        <v>0</v>
      </c>
      <c r="AT20">
        <f t="shared" si="9"/>
        <v>0</v>
      </c>
      <c r="AV20">
        <f t="shared" si="10"/>
        <v>0</v>
      </c>
      <c r="AW20">
        <f t="shared" si="11"/>
        <v>0</v>
      </c>
      <c r="AX20">
        <f t="shared" si="12"/>
        <v>0</v>
      </c>
    </row>
    <row r="21" spans="1:50" ht="15" customHeight="1" x14ac:dyDescent="0.25">
      <c r="A21" s="51" t="s">
        <v>1435</v>
      </c>
      <c r="B21" s="20">
        <v>4114</v>
      </c>
      <c r="C21" s="1">
        <v>3210577.8000000003</v>
      </c>
      <c r="D21" s="1">
        <v>534060.26</v>
      </c>
      <c r="E21" s="1">
        <v>661181.77</v>
      </c>
      <c r="F21" s="1">
        <v>0</v>
      </c>
      <c r="G21" s="1">
        <v>0</v>
      </c>
      <c r="H21" s="1">
        <v>0</v>
      </c>
      <c r="I21" s="152">
        <f t="shared" si="0"/>
        <v>4405819.83</v>
      </c>
      <c r="J21" s="121">
        <v>0</v>
      </c>
      <c r="K21" s="121">
        <v>0</v>
      </c>
      <c r="L21" s="121">
        <v>0</v>
      </c>
      <c r="M21" s="657">
        <f>IF('Plant Total by Account'!$H$1=1,AB21,IF('Plant Total by Account'!$H$1=2,AI21,"Input Toggle"))</f>
        <v>3063760.5697918776</v>
      </c>
      <c r="N21" s="657">
        <f>IF('Plant Total by Account'!$H$1=1,AC21,IF('Plant Total by Account'!$H$1=2,AJ21,"Input Toggle"))</f>
        <v>514836.2580232817</v>
      </c>
      <c r="O21" s="657">
        <f>IF('Plant Total by Account'!$H$1=1,AD21,IF('Plant Total by Account'!$H$1=2,AK21,"Input Toggle"))</f>
        <v>630944.71945687162</v>
      </c>
      <c r="P21" s="657">
        <f t="shared" si="1"/>
        <v>146817.23020812264</v>
      </c>
      <c r="Q21" s="657">
        <f t="shared" si="2"/>
        <v>19224.001976718311</v>
      </c>
      <c r="R21" s="657">
        <f t="shared" si="3"/>
        <v>30237.050543128396</v>
      </c>
      <c r="S21" s="657">
        <v>0</v>
      </c>
      <c r="T21" s="657">
        <v>0</v>
      </c>
      <c r="U21" s="657">
        <v>0</v>
      </c>
      <c r="V21" s="657">
        <f>IF('Plant Total by Account'!$H$1=1,AE21,IF('Plant Total by Account'!$H$1=2,AM21,"Input Toggle"))</f>
        <v>0</v>
      </c>
      <c r="W21" s="657">
        <f>IF('Plant Total by Account'!$H$1=1,AF21,IF('Plant Total by Account'!$H$1=2,AN21,"Input Toggle"))</f>
        <v>0</v>
      </c>
      <c r="X21" s="657">
        <f>IF('Plant Total by Account'!$H$1=1,AG21,IF('Plant Total by Account'!$H$1=2,AO21,"Input Toggle"))</f>
        <v>0</v>
      </c>
      <c r="Y21" s="657">
        <f t="shared" si="4"/>
        <v>0</v>
      </c>
      <c r="Z21" s="121">
        <f t="shared" si="5"/>
        <v>0</v>
      </c>
      <c r="AA21" s="121">
        <f t="shared" si="6"/>
        <v>0</v>
      </c>
      <c r="AB21" s="657">
        <f>SUMIF('ISO w_System Splits'!$D$8:$D$469,$B21,'ISO w_System Splits'!G$8:G$469)</f>
        <v>3063760.5697918776</v>
      </c>
      <c r="AC21" s="657">
        <f>SUMIF('ISO w_System Splits'!$D$8:$D$469,$B21,'ISO w_System Splits'!H$8:H$469)</f>
        <v>514836.2580232817</v>
      </c>
      <c r="AD21" s="657">
        <f>SUMIF('ISO w_System Splits'!$D$8:$D$469,$B21,'ISO w_System Splits'!I$8:I$469)</f>
        <v>630944.71945687162</v>
      </c>
      <c r="AE21" s="657">
        <v>0</v>
      </c>
      <c r="AF21" s="657">
        <v>0</v>
      </c>
      <c r="AG21" s="657">
        <v>0</v>
      </c>
      <c r="AH21" s="130"/>
      <c r="AI21" s="657">
        <f>SUMIF('ISO w_System Splits'!$D$8:$D$615,$B21,'ISO w_System Splits'!G$8:G$615)-SUMIF('ISO w_System Splits'!$D$470:$D$520,$B21,'ISO w_System Splits'!G$470:G$520)</f>
        <v>3063760.5697918776</v>
      </c>
      <c r="AJ21" s="657">
        <f>SUMIF('ISO w_System Splits'!$D$8:$D$615,$B21,'ISO w_System Splits'!H$8:H$615)-SUMIF('ISO w_System Splits'!$D$470:$D$520,$B21,'ISO w_System Splits'!H$470:H$520)</f>
        <v>514836.2580232817</v>
      </c>
      <c r="AK21" s="657">
        <f>SUMIF('ISO w_System Splits'!$D$8:$D$615,$B21,'ISO w_System Splits'!I$8:I$615)-SUMIF('ISO w_System Splits'!$D$470:$D$520,$B21,'ISO w_System Splits'!I$470:I$520)</f>
        <v>630944.71945687162</v>
      </c>
      <c r="AL21" s="130"/>
      <c r="AM21" s="657">
        <v>0</v>
      </c>
      <c r="AN21" s="657">
        <v>0</v>
      </c>
      <c r="AO21" s="657">
        <v>0</v>
      </c>
      <c r="AP21" s="130"/>
      <c r="AR21">
        <f t="shared" si="7"/>
        <v>0</v>
      </c>
      <c r="AS21">
        <f t="shared" si="8"/>
        <v>0</v>
      </c>
      <c r="AT21">
        <f t="shared" si="9"/>
        <v>0</v>
      </c>
      <c r="AV21">
        <f t="shared" si="10"/>
        <v>0</v>
      </c>
      <c r="AW21">
        <f t="shared" si="11"/>
        <v>0</v>
      </c>
      <c r="AX21">
        <f t="shared" si="12"/>
        <v>0</v>
      </c>
    </row>
    <row r="22" spans="1:50" ht="15" customHeight="1" x14ac:dyDescent="0.25">
      <c r="A22" s="51" t="s">
        <v>1436</v>
      </c>
      <c r="B22" s="20">
        <v>4115</v>
      </c>
      <c r="C22" s="1">
        <v>1607024.1400000001</v>
      </c>
      <c r="D22" s="658">
        <v>531634.82999999996</v>
      </c>
      <c r="E22" s="1">
        <v>2148.6799999999998</v>
      </c>
      <c r="F22" s="1">
        <v>0</v>
      </c>
      <c r="G22" s="1">
        <v>0</v>
      </c>
      <c r="H22" s="1">
        <v>0</v>
      </c>
      <c r="I22" s="152">
        <f t="shared" si="0"/>
        <v>2140807.6500000004</v>
      </c>
      <c r="J22" s="121">
        <v>0</v>
      </c>
      <c r="K22" s="121">
        <v>0</v>
      </c>
      <c r="L22" s="121">
        <v>0</v>
      </c>
      <c r="M22" s="657">
        <f>IF('Plant Total by Account'!$H$1=1,AB22,IF('Plant Total by Account'!$H$1=2,AI22,"Input Toggle"))</f>
        <v>1607024.1400000001</v>
      </c>
      <c r="N22" s="657">
        <f>IF('Plant Total by Account'!$H$1=1,AC22,IF('Plant Total by Account'!$H$1=2,AJ22,"Input Toggle"))</f>
        <v>531634.82999999996</v>
      </c>
      <c r="O22" s="657">
        <f>IF('Plant Total by Account'!$H$1=1,AD22,IF('Plant Total by Account'!$H$1=2,AK22,"Input Toggle"))</f>
        <v>2148.6799999999998</v>
      </c>
      <c r="P22" s="657">
        <f t="shared" si="1"/>
        <v>0</v>
      </c>
      <c r="Q22" s="657">
        <f t="shared" si="2"/>
        <v>0</v>
      </c>
      <c r="R22" s="657">
        <f t="shared" si="3"/>
        <v>0</v>
      </c>
      <c r="S22" s="657">
        <v>0</v>
      </c>
      <c r="T22" s="657">
        <v>0</v>
      </c>
      <c r="U22" s="657">
        <v>0</v>
      </c>
      <c r="V22" s="657">
        <f>IF('Plant Total by Account'!$H$1=1,AE22,IF('Plant Total by Account'!$H$1=2,AM22,"Input Toggle"))</f>
        <v>0</v>
      </c>
      <c r="W22" s="657">
        <f>IF('Plant Total by Account'!$H$1=1,AF22,IF('Plant Total by Account'!$H$1=2,AN22,"Input Toggle"))</f>
        <v>0</v>
      </c>
      <c r="X22" s="657">
        <f>IF('Plant Total by Account'!$H$1=1,AG22,IF('Plant Total by Account'!$H$1=2,AO22,"Input Toggle"))</f>
        <v>0</v>
      </c>
      <c r="Y22" s="657">
        <f t="shared" si="4"/>
        <v>0</v>
      </c>
      <c r="Z22" s="121">
        <f t="shared" si="5"/>
        <v>0</v>
      </c>
      <c r="AA22" s="121">
        <f t="shared" si="6"/>
        <v>0</v>
      </c>
      <c r="AB22" s="657">
        <f>SUMIF('ISO w_System Splits'!$D$8:$D$469,$B22,'ISO w_System Splits'!G$8:G$469)</f>
        <v>1607024.1400000001</v>
      </c>
      <c r="AC22" s="657">
        <f>SUMIF('ISO w_System Splits'!$D$8:$D$469,$B22,'ISO w_System Splits'!H$8:H$469)</f>
        <v>531634.82999999996</v>
      </c>
      <c r="AD22" s="657">
        <f>SUMIF('ISO w_System Splits'!$D$8:$D$469,$B22,'ISO w_System Splits'!I$8:I$469)</f>
        <v>2148.6799999999998</v>
      </c>
      <c r="AE22" s="657">
        <v>0</v>
      </c>
      <c r="AF22" s="657">
        <v>0</v>
      </c>
      <c r="AG22" s="657">
        <v>0</v>
      </c>
      <c r="AH22" s="130"/>
      <c r="AI22" s="657">
        <f>SUMIF('ISO w_System Splits'!$D$8:$D$615,$B22,'ISO w_System Splits'!G$8:G$615)-SUMIF('ISO w_System Splits'!$D$470:$D$520,$B22,'ISO w_System Splits'!G$470:G$520)</f>
        <v>1607024.1400000001</v>
      </c>
      <c r="AJ22" s="657">
        <f>SUMIF('ISO w_System Splits'!$D$8:$D$615,$B22,'ISO w_System Splits'!H$8:H$615)-SUMIF('ISO w_System Splits'!$D$470:$D$520,$B22,'ISO w_System Splits'!H$470:H$520)</f>
        <v>531634.82999999996</v>
      </c>
      <c r="AK22" s="657">
        <f>SUMIF('ISO w_System Splits'!$D$8:$D$615,$B22,'ISO w_System Splits'!I$8:I$615)-SUMIF('ISO w_System Splits'!$D$470:$D$520,$B22,'ISO w_System Splits'!I$470:I$520)</f>
        <v>2148.6799999999998</v>
      </c>
      <c r="AL22" s="130"/>
      <c r="AM22" s="657">
        <v>0</v>
      </c>
      <c r="AN22" s="657">
        <v>0</v>
      </c>
      <c r="AO22" s="657">
        <v>0</v>
      </c>
      <c r="AP22" s="130"/>
      <c r="AR22">
        <f t="shared" si="7"/>
        <v>0</v>
      </c>
      <c r="AS22">
        <f t="shared" si="8"/>
        <v>0</v>
      </c>
      <c r="AT22">
        <f t="shared" si="9"/>
        <v>0</v>
      </c>
      <c r="AV22">
        <f t="shared" si="10"/>
        <v>0</v>
      </c>
      <c r="AW22">
        <f t="shared" si="11"/>
        <v>0</v>
      </c>
      <c r="AX22">
        <f t="shared" si="12"/>
        <v>0</v>
      </c>
    </row>
    <row r="23" spans="1:50" x14ac:dyDescent="0.25">
      <c r="A23" s="51" t="s">
        <v>1433</v>
      </c>
      <c r="B23" s="20">
        <v>4116</v>
      </c>
      <c r="C23" s="1">
        <v>3594552.46</v>
      </c>
      <c r="D23" s="659">
        <v>174910.36000000002</v>
      </c>
      <c r="E23" s="1">
        <v>2064.92</v>
      </c>
      <c r="F23" s="1">
        <v>0</v>
      </c>
      <c r="G23" s="1">
        <v>0</v>
      </c>
      <c r="H23" s="1">
        <v>0</v>
      </c>
      <c r="I23" s="152">
        <f t="shared" si="0"/>
        <v>3771527.7399999998</v>
      </c>
      <c r="J23" s="121">
        <v>0</v>
      </c>
      <c r="K23" s="121">
        <v>0</v>
      </c>
      <c r="L23" s="121">
        <v>0</v>
      </c>
      <c r="M23" s="657">
        <f>IF('Plant Total by Account'!$H$1=1,AB23,IF('Plant Total by Account'!$H$1=2,AI23,"Input Toggle"))</f>
        <v>3594621.72</v>
      </c>
      <c r="N23" s="657">
        <f>IF('Plant Total by Account'!$H$1=1,AC23,IF('Plant Total by Account'!$H$1=2,AJ23,"Input Toggle"))</f>
        <v>174910.36</v>
      </c>
      <c r="O23" s="657">
        <f>IF('Plant Total by Account'!$H$1=1,AD23,IF('Plant Total by Account'!$H$1=2,AK23,"Input Toggle"))</f>
        <v>2064.92</v>
      </c>
      <c r="P23" s="660">
        <f t="shared" si="1"/>
        <v>-69.260000000242144</v>
      </c>
      <c r="Q23" s="657">
        <f t="shared" si="2"/>
        <v>2.9103830456733704E-11</v>
      </c>
      <c r="R23" s="657">
        <f t="shared" si="3"/>
        <v>0</v>
      </c>
      <c r="S23" s="657">
        <v>0</v>
      </c>
      <c r="T23" s="657">
        <v>0</v>
      </c>
      <c r="U23" s="657">
        <v>0</v>
      </c>
      <c r="V23" s="657">
        <f>IF('Plant Total by Account'!$H$1=1,AE23,IF('Plant Total by Account'!$H$1=2,AM23,"Input Toggle"))</f>
        <v>0</v>
      </c>
      <c r="W23" s="657">
        <f>IF('Plant Total by Account'!$H$1=1,AF23,IF('Plant Total by Account'!$H$1=2,AN23,"Input Toggle"))</f>
        <v>0</v>
      </c>
      <c r="X23" s="657">
        <f>IF('Plant Total by Account'!$H$1=1,AG23,IF('Plant Total by Account'!$H$1=2,AO23,"Input Toggle"))</f>
        <v>0</v>
      </c>
      <c r="Y23" s="657">
        <f t="shared" si="4"/>
        <v>0</v>
      </c>
      <c r="Z23" s="121">
        <f t="shared" si="5"/>
        <v>0</v>
      </c>
      <c r="AA23" s="121">
        <f t="shared" si="6"/>
        <v>0</v>
      </c>
      <c r="AB23" s="657">
        <f>SUMIF('ISO w_System Splits'!$D$8:$D$469,$B23,'ISO w_System Splits'!G$8:G$469)</f>
        <v>3594621.72</v>
      </c>
      <c r="AC23" s="657">
        <f>SUMIF('ISO w_System Splits'!$D$8:$D$469,$B23,'ISO w_System Splits'!H$8:H$469)</f>
        <v>174910.36</v>
      </c>
      <c r="AD23" s="657">
        <f>SUMIF('ISO w_System Splits'!$D$8:$D$469,$B23,'ISO w_System Splits'!I$8:I$469)</f>
        <v>2064.92</v>
      </c>
      <c r="AE23" s="657">
        <v>0</v>
      </c>
      <c r="AF23" s="657">
        <v>0</v>
      </c>
      <c r="AG23" s="657">
        <v>0</v>
      </c>
      <c r="AH23" s="130"/>
      <c r="AI23" s="657">
        <f>SUMIF('ISO w_System Splits'!$D$8:$D$615,$B23,'ISO w_System Splits'!G$8:G$615)-SUMIF('ISO w_System Splits'!$D$470:$D$520,$B23,'ISO w_System Splits'!G$470:G$520)</f>
        <v>3594621.72</v>
      </c>
      <c r="AJ23" s="657">
        <f>SUMIF('ISO w_System Splits'!$D$8:$D$615,$B23,'ISO w_System Splits'!H$8:H$615)-SUMIF('ISO w_System Splits'!$D$470:$D$520,$B23,'ISO w_System Splits'!H$470:H$520)</f>
        <v>174910.36</v>
      </c>
      <c r="AK23" s="657">
        <f>SUMIF('ISO w_System Splits'!$D$8:$D$615,$B23,'ISO w_System Splits'!I$8:I$615)-SUMIF('ISO w_System Splits'!$D$470:$D$520,$B23,'ISO w_System Splits'!I$470:I$520)</f>
        <v>2064.92</v>
      </c>
      <c r="AL23" s="130"/>
      <c r="AM23" s="657">
        <v>0</v>
      </c>
      <c r="AN23" s="657">
        <v>0</v>
      </c>
      <c r="AO23" s="657">
        <v>0</v>
      </c>
      <c r="AP23" s="130"/>
      <c r="AR23">
        <f t="shared" si="7"/>
        <v>0</v>
      </c>
      <c r="AS23">
        <f t="shared" si="8"/>
        <v>0</v>
      </c>
      <c r="AT23">
        <f t="shared" si="9"/>
        <v>0</v>
      </c>
      <c r="AV23">
        <f t="shared" si="10"/>
        <v>0</v>
      </c>
      <c r="AW23">
        <f t="shared" si="11"/>
        <v>0</v>
      </c>
      <c r="AX23">
        <f t="shared" si="12"/>
        <v>0</v>
      </c>
    </row>
    <row r="24" spans="1:50" ht="15" customHeight="1" x14ac:dyDescent="0.25">
      <c r="A24" s="51" t="s">
        <v>1433</v>
      </c>
      <c r="B24" s="20">
        <v>4117</v>
      </c>
      <c r="C24" s="1">
        <v>1005475.76</v>
      </c>
      <c r="D24" s="658">
        <v>7083.96</v>
      </c>
      <c r="E24" s="1">
        <v>12857.19</v>
      </c>
      <c r="F24" s="1">
        <v>0</v>
      </c>
      <c r="G24" s="1">
        <v>0</v>
      </c>
      <c r="H24" s="1">
        <v>0</v>
      </c>
      <c r="I24" s="152">
        <f t="shared" si="0"/>
        <v>1025416.9099999999</v>
      </c>
      <c r="J24" s="121">
        <v>0</v>
      </c>
      <c r="K24" s="121">
        <v>0</v>
      </c>
      <c r="L24" s="121">
        <v>0</v>
      </c>
      <c r="M24" s="657">
        <f>IF('Plant Total by Account'!$H$1=1,AB24,IF('Plant Total by Account'!$H$1=2,AI24,"Input Toggle"))</f>
        <v>1005508.8399999996</v>
      </c>
      <c r="N24" s="657">
        <f>IF('Plant Total by Account'!$H$1=1,AC24,IF('Plant Total by Account'!$H$1=2,AJ24,"Input Toggle"))</f>
        <v>7083.9599999999991</v>
      </c>
      <c r="O24" s="657">
        <f>IF('Plant Total by Account'!$H$1=1,AD24,IF('Plant Total by Account'!$H$1=2,AK24,"Input Toggle"))</f>
        <v>12857.189999999999</v>
      </c>
      <c r="P24" s="660">
        <f t="shared" si="1"/>
        <v>-33.079999999608845</v>
      </c>
      <c r="Q24" s="657">
        <f t="shared" si="2"/>
        <v>9.0949470177292824E-13</v>
      </c>
      <c r="R24" s="657">
        <f t="shared" si="3"/>
        <v>0</v>
      </c>
      <c r="S24" s="657">
        <v>0</v>
      </c>
      <c r="T24" s="657">
        <v>0</v>
      </c>
      <c r="U24" s="657">
        <v>0</v>
      </c>
      <c r="V24" s="657">
        <f>IF('Plant Total by Account'!$H$1=1,AE24,IF('Plant Total by Account'!$H$1=2,AM24,"Input Toggle"))</f>
        <v>0</v>
      </c>
      <c r="W24" s="657">
        <f>IF('Plant Total by Account'!$H$1=1,AF24,IF('Plant Total by Account'!$H$1=2,AN24,"Input Toggle"))</f>
        <v>0</v>
      </c>
      <c r="X24" s="657">
        <f>IF('Plant Total by Account'!$H$1=1,AG24,IF('Plant Total by Account'!$H$1=2,AO24,"Input Toggle"))</f>
        <v>0</v>
      </c>
      <c r="Y24" s="657">
        <f t="shared" si="4"/>
        <v>0</v>
      </c>
      <c r="Z24" s="121">
        <f t="shared" si="5"/>
        <v>0</v>
      </c>
      <c r="AA24" s="121">
        <f t="shared" si="6"/>
        <v>0</v>
      </c>
      <c r="AB24" s="657">
        <f>SUMIF('ISO w_System Splits'!$D$8:$D$469,$B24,'ISO w_System Splits'!G$8:G$469)</f>
        <v>1005508.8399999996</v>
      </c>
      <c r="AC24" s="657">
        <f>SUMIF('ISO w_System Splits'!$D$8:$D$469,$B24,'ISO w_System Splits'!H$8:H$469)</f>
        <v>7083.9599999999991</v>
      </c>
      <c r="AD24" s="657">
        <f>SUMIF('ISO w_System Splits'!$D$8:$D$469,$B24,'ISO w_System Splits'!I$8:I$469)</f>
        <v>12857.189999999999</v>
      </c>
      <c r="AE24" s="657">
        <v>0</v>
      </c>
      <c r="AF24" s="657">
        <v>0</v>
      </c>
      <c r="AG24" s="657">
        <v>0</v>
      </c>
      <c r="AH24" s="130"/>
      <c r="AI24" s="657">
        <f>SUMIF('ISO w_System Splits'!$D$8:$D$615,$B24,'ISO w_System Splits'!G$8:G$615)-SUMIF('ISO w_System Splits'!$D$470:$D$520,$B24,'ISO w_System Splits'!G$470:G$520)</f>
        <v>1005508.8399999996</v>
      </c>
      <c r="AJ24" s="657">
        <f>SUMIF('ISO w_System Splits'!$D$8:$D$615,$B24,'ISO w_System Splits'!H$8:H$615)-SUMIF('ISO w_System Splits'!$D$470:$D$520,$B24,'ISO w_System Splits'!H$470:H$520)</f>
        <v>7083.9599999999991</v>
      </c>
      <c r="AK24" s="657">
        <f>SUMIF('ISO w_System Splits'!$D$8:$D$615,$B24,'ISO w_System Splits'!I$8:I$615)-SUMIF('ISO w_System Splits'!$D$470:$D$520,$B24,'ISO w_System Splits'!I$470:I$520)</f>
        <v>12857.189999999999</v>
      </c>
      <c r="AL24" s="130"/>
      <c r="AM24" s="657">
        <v>0</v>
      </c>
      <c r="AN24" s="657">
        <v>0</v>
      </c>
      <c r="AO24" s="657">
        <v>0</v>
      </c>
      <c r="AP24" s="130"/>
      <c r="AR24">
        <f t="shared" si="7"/>
        <v>0</v>
      </c>
      <c r="AS24">
        <f t="shared" si="8"/>
        <v>0</v>
      </c>
      <c r="AT24">
        <f t="shared" si="9"/>
        <v>0</v>
      </c>
      <c r="AV24">
        <f t="shared" si="10"/>
        <v>0</v>
      </c>
      <c r="AW24">
        <f t="shared" si="11"/>
        <v>0</v>
      </c>
      <c r="AX24">
        <f t="shared" si="12"/>
        <v>0</v>
      </c>
    </row>
    <row r="25" spans="1:50" x14ac:dyDescent="0.25">
      <c r="A25" s="51" t="s">
        <v>1437</v>
      </c>
      <c r="B25" s="20">
        <v>4118</v>
      </c>
      <c r="C25" s="1">
        <v>5639404.7100000009</v>
      </c>
      <c r="D25" s="659">
        <v>134434.71000000002</v>
      </c>
      <c r="E25" s="1">
        <v>2259.8000000000002</v>
      </c>
      <c r="F25" s="1">
        <v>0</v>
      </c>
      <c r="G25" s="1">
        <v>0</v>
      </c>
      <c r="H25" s="1">
        <v>0</v>
      </c>
      <c r="I25" s="152">
        <f t="shared" si="0"/>
        <v>5776099.2200000007</v>
      </c>
      <c r="J25" s="121">
        <v>0</v>
      </c>
      <c r="K25" s="121">
        <v>0</v>
      </c>
      <c r="L25" s="121">
        <v>0</v>
      </c>
      <c r="M25" s="657">
        <f>IF('Plant Total by Account'!$H$1=1,AB25,IF('Plant Total by Account'!$H$1=2,AI25,"Input Toggle"))</f>
        <v>5239034.8803760903</v>
      </c>
      <c r="N25" s="657">
        <f>IF('Plant Total by Account'!$H$1=1,AC25,IF('Plant Total by Account'!$H$1=2,AJ25,"Input Toggle"))</f>
        <v>124516.07307997544</v>
      </c>
      <c r="O25" s="657">
        <f>IF('Plant Total by Account'!$H$1=1,AD25,IF('Plant Total by Account'!$H$1=2,AK25,"Input Toggle"))</f>
        <v>2093.0712161028086</v>
      </c>
      <c r="P25" s="657">
        <f t="shared" si="1"/>
        <v>400369.8296239106</v>
      </c>
      <c r="Q25" s="657">
        <f t="shared" si="2"/>
        <v>9918.6369200245827</v>
      </c>
      <c r="R25" s="657">
        <f t="shared" si="3"/>
        <v>166.72878389719153</v>
      </c>
      <c r="S25" s="657">
        <v>0</v>
      </c>
      <c r="T25" s="657">
        <v>0</v>
      </c>
      <c r="U25" s="657">
        <v>0</v>
      </c>
      <c r="V25" s="657">
        <f>IF('Plant Total by Account'!$H$1=1,AE25,IF('Plant Total by Account'!$H$1=2,AM25,"Input Toggle"))</f>
        <v>0</v>
      </c>
      <c r="W25" s="657">
        <f>IF('Plant Total by Account'!$H$1=1,AF25,IF('Plant Total by Account'!$H$1=2,AN25,"Input Toggle"))</f>
        <v>0</v>
      </c>
      <c r="X25" s="657">
        <f>IF('Plant Total by Account'!$H$1=1,AG25,IF('Plant Total by Account'!$H$1=2,AO25,"Input Toggle"))</f>
        <v>0</v>
      </c>
      <c r="Y25" s="657">
        <f t="shared" si="4"/>
        <v>0</v>
      </c>
      <c r="Z25" s="121">
        <f t="shared" si="5"/>
        <v>0</v>
      </c>
      <c r="AA25" s="121">
        <f t="shared" si="6"/>
        <v>0</v>
      </c>
      <c r="AB25" s="657">
        <f>SUMIF('ISO w_System Splits'!$D$8:$D$469,$B25,'ISO w_System Splits'!G$8:G$469)</f>
        <v>5239034.8803760903</v>
      </c>
      <c r="AC25" s="657">
        <f>SUMIF('ISO w_System Splits'!$D$8:$D$469,$B25,'ISO w_System Splits'!H$8:H$469)</f>
        <v>124516.07307997544</v>
      </c>
      <c r="AD25" s="657">
        <f>SUMIF('ISO w_System Splits'!$D$8:$D$469,$B25,'ISO w_System Splits'!I$8:I$469)</f>
        <v>2093.0712161028086</v>
      </c>
      <c r="AE25" s="657">
        <v>0</v>
      </c>
      <c r="AF25" s="657">
        <v>0</v>
      </c>
      <c r="AG25" s="657">
        <v>0</v>
      </c>
      <c r="AH25" s="130"/>
      <c r="AI25" s="657">
        <f>SUMIF('ISO w_System Splits'!$D$8:$D$615,$B25,'ISO w_System Splits'!G$8:G$615)-SUMIF('ISO w_System Splits'!$D$470:$D$520,$B25,'ISO w_System Splits'!G$470:G$520)</f>
        <v>5239034.8803760903</v>
      </c>
      <c r="AJ25" s="657">
        <f>SUMIF('ISO w_System Splits'!$D$8:$D$615,$B25,'ISO w_System Splits'!H$8:H$615)-SUMIF('ISO w_System Splits'!$D$470:$D$520,$B25,'ISO w_System Splits'!H$470:H$520)</f>
        <v>124516.07307997544</v>
      </c>
      <c r="AK25" s="657">
        <f>SUMIF('ISO w_System Splits'!$D$8:$D$615,$B25,'ISO w_System Splits'!I$8:I$615)-SUMIF('ISO w_System Splits'!$D$470:$D$520,$B25,'ISO w_System Splits'!I$470:I$520)</f>
        <v>2093.0712161028086</v>
      </c>
      <c r="AL25" s="130"/>
      <c r="AM25" s="657">
        <v>0</v>
      </c>
      <c r="AN25" s="657">
        <v>0</v>
      </c>
      <c r="AO25" s="657">
        <v>0</v>
      </c>
      <c r="AP25" s="130"/>
      <c r="AR25">
        <f t="shared" si="7"/>
        <v>0</v>
      </c>
      <c r="AS25">
        <f t="shared" si="8"/>
        <v>0</v>
      </c>
      <c r="AT25">
        <f t="shared" si="9"/>
        <v>0</v>
      </c>
      <c r="AV25">
        <f t="shared" si="10"/>
        <v>0</v>
      </c>
      <c r="AW25">
        <f t="shared" si="11"/>
        <v>0</v>
      </c>
      <c r="AX25">
        <f t="shared" si="12"/>
        <v>0</v>
      </c>
    </row>
    <row r="26" spans="1:50" x14ac:dyDescent="0.25">
      <c r="A26" s="51" t="s">
        <v>1433</v>
      </c>
      <c r="B26" s="20">
        <v>4119</v>
      </c>
      <c r="C26" s="1">
        <v>2099654.15</v>
      </c>
      <c r="D26" s="659">
        <v>71859.650000000009</v>
      </c>
      <c r="E26" s="1">
        <v>100.89</v>
      </c>
      <c r="F26" s="1">
        <v>0</v>
      </c>
      <c r="G26" s="1">
        <v>0</v>
      </c>
      <c r="H26" s="1">
        <v>0</v>
      </c>
      <c r="I26" s="152">
        <f t="shared" si="0"/>
        <v>2171614.69</v>
      </c>
      <c r="J26" s="121">
        <v>0</v>
      </c>
      <c r="K26" s="121">
        <v>0</v>
      </c>
      <c r="L26" s="121">
        <v>0</v>
      </c>
      <c r="M26" s="657">
        <f>IF('Plant Total by Account'!$H$1=1,AB26,IF('Plant Total by Account'!$H$1=2,AI26,"Input Toggle"))</f>
        <v>1793706.872299684</v>
      </c>
      <c r="N26" s="657">
        <f>IF('Plant Total by Account'!$H$1=1,AC26,IF('Plant Total by Account'!$H$1=2,AJ26,"Input Toggle"))</f>
        <v>61385.087068522727</v>
      </c>
      <c r="O26" s="657">
        <f>IF('Plant Total by Account'!$H$1=1,AD26,IF('Plant Total by Account'!$H$1=2,AK26,"Input Toggle"))</f>
        <v>86.183851916106718</v>
      </c>
      <c r="P26" s="657">
        <f t="shared" si="1"/>
        <v>305947.27770031593</v>
      </c>
      <c r="Q26" s="657">
        <f t="shared" si="2"/>
        <v>10474.562931477281</v>
      </c>
      <c r="R26" s="657">
        <f t="shared" si="3"/>
        <v>14.706148083893282</v>
      </c>
      <c r="S26" s="657">
        <v>0</v>
      </c>
      <c r="T26" s="657">
        <v>0</v>
      </c>
      <c r="U26" s="657">
        <v>0</v>
      </c>
      <c r="V26" s="657">
        <f>IF('Plant Total by Account'!$H$1=1,AE26,IF('Plant Total by Account'!$H$1=2,AM26,"Input Toggle"))</f>
        <v>0</v>
      </c>
      <c r="W26" s="657">
        <f>IF('Plant Total by Account'!$H$1=1,AF26,IF('Plant Total by Account'!$H$1=2,AN26,"Input Toggle"))</f>
        <v>0</v>
      </c>
      <c r="X26" s="657">
        <f>IF('Plant Total by Account'!$H$1=1,AG26,IF('Plant Total by Account'!$H$1=2,AO26,"Input Toggle"))</f>
        <v>0</v>
      </c>
      <c r="Y26" s="657">
        <f t="shared" si="4"/>
        <v>0</v>
      </c>
      <c r="Z26" s="121">
        <f t="shared" si="5"/>
        <v>0</v>
      </c>
      <c r="AA26" s="121">
        <f t="shared" si="6"/>
        <v>0</v>
      </c>
      <c r="AB26" s="657">
        <f>SUMIF('ISO w_System Splits'!$D$8:$D$469,$B26,'ISO w_System Splits'!G$8:G$469)</f>
        <v>1793706.872299684</v>
      </c>
      <c r="AC26" s="657">
        <f>SUMIF('ISO w_System Splits'!$D$8:$D$469,$B26,'ISO w_System Splits'!H$8:H$469)</f>
        <v>61385.087068522727</v>
      </c>
      <c r="AD26" s="657">
        <f>SUMIF('ISO w_System Splits'!$D$8:$D$469,$B26,'ISO w_System Splits'!I$8:I$469)</f>
        <v>86.183851916106718</v>
      </c>
      <c r="AE26" s="657">
        <v>0</v>
      </c>
      <c r="AF26" s="657">
        <v>0</v>
      </c>
      <c r="AG26" s="657">
        <v>0</v>
      </c>
      <c r="AH26" s="130"/>
      <c r="AI26" s="657">
        <f>SUMIF('ISO w_System Splits'!$D$8:$D$615,$B26,'ISO w_System Splits'!G$8:G$615)-SUMIF('ISO w_System Splits'!$D$470:$D$520,$B26,'ISO w_System Splits'!G$470:G$520)</f>
        <v>1793706.872299684</v>
      </c>
      <c r="AJ26" s="657">
        <f>SUMIF('ISO w_System Splits'!$D$8:$D$615,$B26,'ISO w_System Splits'!H$8:H$615)-SUMIF('ISO w_System Splits'!$D$470:$D$520,$B26,'ISO w_System Splits'!H$470:H$520)</f>
        <v>61385.087068522727</v>
      </c>
      <c r="AK26" s="657">
        <f>SUMIF('ISO w_System Splits'!$D$8:$D$615,$B26,'ISO w_System Splits'!I$8:I$615)-SUMIF('ISO w_System Splits'!$D$470:$D$520,$B26,'ISO w_System Splits'!I$470:I$520)</f>
        <v>86.183851916106718</v>
      </c>
      <c r="AL26" s="130"/>
      <c r="AM26" s="657">
        <v>0</v>
      </c>
      <c r="AN26" s="657">
        <v>0</v>
      </c>
      <c r="AO26" s="657">
        <v>0</v>
      </c>
      <c r="AP26" s="130"/>
      <c r="AR26">
        <f t="shared" si="7"/>
        <v>0</v>
      </c>
      <c r="AS26">
        <f t="shared" si="8"/>
        <v>0</v>
      </c>
      <c r="AT26">
        <f t="shared" si="9"/>
        <v>0</v>
      </c>
      <c r="AV26">
        <f t="shared" si="10"/>
        <v>0</v>
      </c>
      <c r="AW26">
        <f t="shared" si="11"/>
        <v>0</v>
      </c>
      <c r="AX26">
        <f t="shared" si="12"/>
        <v>0</v>
      </c>
    </row>
    <row r="27" spans="1:50" ht="15" customHeight="1" x14ac:dyDescent="0.25">
      <c r="A27" s="51" t="s">
        <v>1505</v>
      </c>
      <c r="B27" s="20">
        <v>4120</v>
      </c>
      <c r="C27" s="1">
        <v>4270244.0200000005</v>
      </c>
      <c r="D27" s="658">
        <v>298149.87000000005</v>
      </c>
      <c r="E27" s="1">
        <v>3380</v>
      </c>
      <c r="F27" s="1">
        <v>0</v>
      </c>
      <c r="G27" s="1">
        <v>0</v>
      </c>
      <c r="H27" s="1">
        <v>0</v>
      </c>
      <c r="I27" s="152">
        <f t="shared" si="0"/>
        <v>4571773.8900000006</v>
      </c>
      <c r="J27" s="121">
        <v>0</v>
      </c>
      <c r="K27" s="121">
        <v>0</v>
      </c>
      <c r="L27" s="121">
        <v>0</v>
      </c>
      <c r="M27" s="657">
        <f>IF('Plant Total by Account'!$H$1=1,AB27,IF('Plant Total by Account'!$H$1=2,AI27,"Input Toggle"))</f>
        <v>3695472.462674276</v>
      </c>
      <c r="N27" s="657">
        <f>IF('Plant Total by Account'!$H$1=1,AC27,IF('Plant Total by Account'!$H$1=2,AJ27,"Input Toggle"))</f>
        <v>258018.49563661142</v>
      </c>
      <c r="O27" s="657">
        <f>IF('Plant Total by Account'!$H$1=1,AD27,IF('Plant Total by Account'!$H$1=2,AK27,"Input Toggle"))</f>
        <v>2925.0474442660216</v>
      </c>
      <c r="P27" s="657">
        <f t="shared" si="1"/>
        <v>574771.55732572451</v>
      </c>
      <c r="Q27" s="657">
        <f t="shared" si="2"/>
        <v>40131.374363388633</v>
      </c>
      <c r="R27" s="657">
        <f t="shared" si="3"/>
        <v>454.95255573397844</v>
      </c>
      <c r="S27" s="657">
        <v>0</v>
      </c>
      <c r="T27" s="657">
        <v>0</v>
      </c>
      <c r="U27" s="657">
        <v>0</v>
      </c>
      <c r="V27" s="657">
        <f>IF('Plant Total by Account'!$H$1=1,AE27,IF('Plant Total by Account'!$H$1=2,AM27,"Input Toggle"))</f>
        <v>0</v>
      </c>
      <c r="W27" s="657">
        <f>IF('Plant Total by Account'!$H$1=1,AF27,IF('Plant Total by Account'!$H$1=2,AN27,"Input Toggle"))</f>
        <v>0</v>
      </c>
      <c r="X27" s="657">
        <f>IF('Plant Total by Account'!$H$1=1,AG27,IF('Plant Total by Account'!$H$1=2,AO27,"Input Toggle"))</f>
        <v>0</v>
      </c>
      <c r="Y27" s="657">
        <f t="shared" si="4"/>
        <v>0</v>
      </c>
      <c r="Z27" s="121">
        <f t="shared" si="5"/>
        <v>0</v>
      </c>
      <c r="AA27" s="121">
        <f t="shared" si="6"/>
        <v>0</v>
      </c>
      <c r="AB27" s="657">
        <f>SUMIF('ISO w_System Splits'!$D$8:$D$469,$B27,'ISO w_System Splits'!G$8:G$469)</f>
        <v>3695472.462674276</v>
      </c>
      <c r="AC27" s="657">
        <f>SUMIF('ISO w_System Splits'!$D$8:$D$469,$B27,'ISO w_System Splits'!H$8:H$469)</f>
        <v>258018.49563661142</v>
      </c>
      <c r="AD27" s="657">
        <f>SUMIF('ISO w_System Splits'!$D$8:$D$469,$B27,'ISO w_System Splits'!I$8:I$469)</f>
        <v>2925.0474442660216</v>
      </c>
      <c r="AE27" s="657">
        <v>0</v>
      </c>
      <c r="AF27" s="657">
        <v>0</v>
      </c>
      <c r="AG27" s="657">
        <v>0</v>
      </c>
      <c r="AH27" s="130"/>
      <c r="AI27" s="657">
        <f>SUMIF('ISO w_System Splits'!$D$8:$D$615,$B27,'ISO w_System Splits'!G$8:G$615)-SUMIF('ISO w_System Splits'!$D$470:$D$520,$B27,'ISO w_System Splits'!G$470:G$520)</f>
        <v>3695472.462674276</v>
      </c>
      <c r="AJ27" s="657">
        <f>SUMIF('ISO w_System Splits'!$D$8:$D$615,$B27,'ISO w_System Splits'!H$8:H$615)-SUMIF('ISO w_System Splits'!$D$470:$D$520,$B27,'ISO w_System Splits'!H$470:H$520)</f>
        <v>258018.49563661142</v>
      </c>
      <c r="AK27" s="657">
        <f>SUMIF('ISO w_System Splits'!$D$8:$D$615,$B27,'ISO w_System Splits'!I$8:I$615)-SUMIF('ISO w_System Splits'!$D$470:$D$520,$B27,'ISO w_System Splits'!I$470:I$520)</f>
        <v>2925.0474442660216</v>
      </c>
      <c r="AL27" s="130"/>
      <c r="AM27" s="657">
        <v>0</v>
      </c>
      <c r="AN27" s="657">
        <v>0</v>
      </c>
      <c r="AO27" s="657">
        <v>0</v>
      </c>
      <c r="AP27" s="130"/>
      <c r="AR27">
        <f t="shared" si="7"/>
        <v>0</v>
      </c>
      <c r="AS27">
        <f t="shared" si="8"/>
        <v>0</v>
      </c>
      <c r="AT27">
        <f t="shared" si="9"/>
        <v>0</v>
      </c>
      <c r="AV27">
        <f t="shared" si="10"/>
        <v>0</v>
      </c>
      <c r="AW27">
        <f t="shared" si="11"/>
        <v>0</v>
      </c>
      <c r="AX27">
        <f t="shared" si="12"/>
        <v>0</v>
      </c>
    </row>
    <row r="28" spans="1:50" ht="15" customHeight="1" x14ac:dyDescent="0.25">
      <c r="A28" s="51" t="s">
        <v>1321</v>
      </c>
      <c r="B28" s="20">
        <v>4121</v>
      </c>
      <c r="C28" s="1">
        <v>353928.47</v>
      </c>
      <c r="D28" s="658">
        <v>0</v>
      </c>
      <c r="E28" s="1">
        <v>0</v>
      </c>
      <c r="F28" s="1">
        <v>0</v>
      </c>
      <c r="G28" s="1">
        <v>0</v>
      </c>
      <c r="H28" s="1">
        <v>0</v>
      </c>
      <c r="I28" s="152">
        <f t="shared" si="0"/>
        <v>353928.47</v>
      </c>
      <c r="J28" s="121">
        <v>0</v>
      </c>
      <c r="K28" s="121">
        <v>0</v>
      </c>
      <c r="L28" s="121">
        <v>0</v>
      </c>
      <c r="M28" s="657">
        <f>IF('Plant Total by Account'!$H$1=1,AB28,IF('Plant Total by Account'!$H$1=2,AI28,"Input Toggle"))</f>
        <v>353928.47</v>
      </c>
      <c r="N28" s="657">
        <f>IF('Plant Total by Account'!$H$1=1,AC28,IF('Plant Total by Account'!$H$1=2,AJ28,"Input Toggle"))</f>
        <v>0</v>
      </c>
      <c r="O28" s="657">
        <f>IF('Plant Total by Account'!$H$1=1,AD28,IF('Plant Total by Account'!$H$1=2,AK28,"Input Toggle"))</f>
        <v>0</v>
      </c>
      <c r="P28" s="657">
        <f t="shared" si="1"/>
        <v>0</v>
      </c>
      <c r="Q28" s="657">
        <f t="shared" si="2"/>
        <v>0</v>
      </c>
      <c r="R28" s="657">
        <f t="shared" si="3"/>
        <v>0</v>
      </c>
      <c r="S28" s="657">
        <v>0</v>
      </c>
      <c r="T28" s="657">
        <v>0</v>
      </c>
      <c r="U28" s="657">
        <v>0</v>
      </c>
      <c r="V28" s="657">
        <f>IF('Plant Total by Account'!$H$1=1,AE28,IF('Plant Total by Account'!$H$1=2,AM28,"Input Toggle"))</f>
        <v>0</v>
      </c>
      <c r="W28" s="657">
        <f>IF('Plant Total by Account'!$H$1=1,AF28,IF('Plant Total by Account'!$H$1=2,AN28,"Input Toggle"))</f>
        <v>0</v>
      </c>
      <c r="X28" s="657">
        <f>IF('Plant Total by Account'!$H$1=1,AG28,IF('Plant Total by Account'!$H$1=2,AO28,"Input Toggle"))</f>
        <v>0</v>
      </c>
      <c r="Y28" s="657">
        <f t="shared" si="4"/>
        <v>0</v>
      </c>
      <c r="Z28" s="121">
        <f t="shared" si="5"/>
        <v>0</v>
      </c>
      <c r="AA28" s="121">
        <f t="shared" si="6"/>
        <v>0</v>
      </c>
      <c r="AB28" s="657">
        <f>SUMIF('ISO w_System Splits'!$D$8:$D$469,$B28,'ISO w_System Splits'!G$8:G$469)</f>
        <v>353928.47</v>
      </c>
      <c r="AC28" s="657">
        <f>SUMIF('ISO w_System Splits'!$D$8:$D$469,$B28,'ISO w_System Splits'!H$8:H$469)</f>
        <v>0</v>
      </c>
      <c r="AD28" s="657">
        <f>SUMIF('ISO w_System Splits'!$D$8:$D$469,$B28,'ISO w_System Splits'!I$8:I$469)</f>
        <v>0</v>
      </c>
      <c r="AE28" s="657">
        <v>0</v>
      </c>
      <c r="AF28" s="657">
        <v>0</v>
      </c>
      <c r="AG28" s="657">
        <v>0</v>
      </c>
      <c r="AH28" s="130"/>
      <c r="AI28" s="657">
        <f>SUMIF('ISO w_System Splits'!$D$8:$D$615,$B28,'ISO w_System Splits'!G$8:G$615)-SUMIF('ISO w_System Splits'!$D$470:$D$520,$B28,'ISO w_System Splits'!G$470:G$520)</f>
        <v>353928.47</v>
      </c>
      <c r="AJ28" s="657">
        <f>SUMIF('ISO w_System Splits'!$D$8:$D$615,$B28,'ISO w_System Splits'!H$8:H$615)-SUMIF('ISO w_System Splits'!$D$470:$D$520,$B28,'ISO w_System Splits'!H$470:H$520)</f>
        <v>0</v>
      </c>
      <c r="AK28" s="657">
        <f>SUMIF('ISO w_System Splits'!$D$8:$D$615,$B28,'ISO w_System Splits'!I$8:I$615)-SUMIF('ISO w_System Splits'!$D$470:$D$520,$B28,'ISO w_System Splits'!I$470:I$520)</f>
        <v>0</v>
      </c>
      <c r="AL28" s="130"/>
      <c r="AM28" s="657">
        <v>0</v>
      </c>
      <c r="AN28" s="657">
        <v>0</v>
      </c>
      <c r="AO28" s="657">
        <v>0</v>
      </c>
      <c r="AP28" s="130"/>
      <c r="AR28">
        <f t="shared" si="7"/>
        <v>0</v>
      </c>
      <c r="AS28">
        <f t="shared" si="8"/>
        <v>0</v>
      </c>
      <c r="AT28">
        <f t="shared" si="9"/>
        <v>0</v>
      </c>
      <c r="AV28">
        <f t="shared" si="10"/>
        <v>0</v>
      </c>
      <c r="AW28">
        <f t="shared" si="11"/>
        <v>0</v>
      </c>
      <c r="AX28">
        <f t="shared" si="12"/>
        <v>0</v>
      </c>
    </row>
    <row r="29" spans="1:50" ht="15" customHeight="1" x14ac:dyDescent="0.25">
      <c r="A29" s="51" t="s">
        <v>1001</v>
      </c>
      <c r="B29" s="20">
        <v>4123</v>
      </c>
      <c r="C29" s="1">
        <v>1734921.02</v>
      </c>
      <c r="D29" s="658">
        <v>0</v>
      </c>
      <c r="E29" s="1">
        <v>16632.95</v>
      </c>
      <c r="F29" s="1">
        <v>0</v>
      </c>
      <c r="G29" s="1">
        <v>0</v>
      </c>
      <c r="H29" s="1">
        <v>0</v>
      </c>
      <c r="I29" s="152">
        <f t="shared" si="0"/>
        <v>1751553.97</v>
      </c>
      <c r="J29" s="121">
        <v>0</v>
      </c>
      <c r="K29" s="121">
        <v>0</v>
      </c>
      <c r="L29" s="121">
        <v>0</v>
      </c>
      <c r="M29" s="657">
        <f>IF('Plant Total by Account'!$H$1=1,AB29,IF('Plant Total by Account'!$H$1=2,AI29,"Input Toggle"))</f>
        <v>1734921.0199999998</v>
      </c>
      <c r="N29" s="657">
        <f>IF('Plant Total by Account'!$H$1=1,AC29,IF('Plant Total by Account'!$H$1=2,AJ29,"Input Toggle"))</f>
        <v>0</v>
      </c>
      <c r="O29" s="657">
        <f>IF('Plant Total by Account'!$H$1=1,AD29,IF('Plant Total by Account'!$H$1=2,AK29,"Input Toggle"))</f>
        <v>16632.949999999997</v>
      </c>
      <c r="P29" s="657">
        <f t="shared" si="1"/>
        <v>0</v>
      </c>
      <c r="Q29" s="657">
        <f t="shared" si="2"/>
        <v>0</v>
      </c>
      <c r="R29" s="657">
        <f t="shared" si="3"/>
        <v>0</v>
      </c>
      <c r="S29" s="657">
        <v>0</v>
      </c>
      <c r="T29" s="657">
        <v>0</v>
      </c>
      <c r="U29" s="657">
        <v>0</v>
      </c>
      <c r="V29" s="657">
        <f>IF('Plant Total by Account'!$H$1=1,AE29,IF('Plant Total by Account'!$H$1=2,AM29,"Input Toggle"))</f>
        <v>0</v>
      </c>
      <c r="W29" s="657">
        <f>IF('Plant Total by Account'!$H$1=1,AF29,IF('Plant Total by Account'!$H$1=2,AN29,"Input Toggle"))</f>
        <v>0</v>
      </c>
      <c r="X29" s="657">
        <f>IF('Plant Total by Account'!$H$1=1,AG29,IF('Plant Total by Account'!$H$1=2,AO29,"Input Toggle"))</f>
        <v>0</v>
      </c>
      <c r="Y29" s="657">
        <f t="shared" si="4"/>
        <v>0</v>
      </c>
      <c r="Z29" s="121">
        <f t="shared" si="5"/>
        <v>0</v>
      </c>
      <c r="AA29" s="121">
        <f t="shared" si="6"/>
        <v>0</v>
      </c>
      <c r="AB29" s="657">
        <f>SUMIF('ISO w_System Splits'!$D$8:$D$469,$B29,'ISO w_System Splits'!G$8:G$469)</f>
        <v>1734921.0199999998</v>
      </c>
      <c r="AC29" s="657">
        <f>SUMIF('ISO w_System Splits'!$D$8:$D$469,$B29,'ISO w_System Splits'!H$8:H$469)</f>
        <v>0</v>
      </c>
      <c r="AD29" s="657">
        <f>SUMIF('ISO w_System Splits'!$D$8:$D$469,$B29,'ISO w_System Splits'!I$8:I$469)</f>
        <v>16632.949999999997</v>
      </c>
      <c r="AE29" s="657">
        <v>0</v>
      </c>
      <c r="AF29" s="657">
        <v>0</v>
      </c>
      <c r="AG29" s="657">
        <v>0</v>
      </c>
      <c r="AH29" s="130"/>
      <c r="AI29" s="657">
        <f>SUMIF('ISO w_System Splits'!$D$8:$D$615,$B29,'ISO w_System Splits'!G$8:G$615)-SUMIF('ISO w_System Splits'!$D$470:$D$520,$B29,'ISO w_System Splits'!G$470:G$520)</f>
        <v>1734921.0199999998</v>
      </c>
      <c r="AJ29" s="657">
        <f>SUMIF('ISO w_System Splits'!$D$8:$D$615,$B29,'ISO w_System Splits'!H$8:H$615)-SUMIF('ISO w_System Splits'!$D$470:$D$520,$B29,'ISO w_System Splits'!H$470:H$520)</f>
        <v>0</v>
      </c>
      <c r="AK29" s="657">
        <f>SUMIF('ISO w_System Splits'!$D$8:$D$615,$B29,'ISO w_System Splits'!I$8:I$615)-SUMIF('ISO w_System Splits'!$D$470:$D$520,$B29,'ISO w_System Splits'!I$470:I$520)</f>
        <v>16632.949999999997</v>
      </c>
      <c r="AL29" s="130"/>
      <c r="AM29" s="657">
        <v>0</v>
      </c>
      <c r="AN29" s="657">
        <v>0</v>
      </c>
      <c r="AO29" s="657">
        <v>0</v>
      </c>
      <c r="AP29" s="130"/>
      <c r="AR29">
        <f t="shared" si="7"/>
        <v>0</v>
      </c>
      <c r="AS29">
        <f t="shared" si="8"/>
        <v>0</v>
      </c>
      <c r="AT29">
        <f t="shared" si="9"/>
        <v>0</v>
      </c>
      <c r="AV29">
        <f t="shared" si="10"/>
        <v>0</v>
      </c>
      <c r="AW29">
        <f t="shared" si="11"/>
        <v>0</v>
      </c>
      <c r="AX29">
        <f t="shared" si="12"/>
        <v>0</v>
      </c>
    </row>
    <row r="30" spans="1:50" ht="15" customHeight="1" x14ac:dyDescent="0.25">
      <c r="A30" s="51" t="s">
        <v>509</v>
      </c>
      <c r="B30" s="20">
        <v>4124</v>
      </c>
      <c r="C30" s="1">
        <v>485.44</v>
      </c>
      <c r="D30" s="658">
        <v>0</v>
      </c>
      <c r="E30" s="1">
        <v>0</v>
      </c>
      <c r="F30" s="1">
        <v>0</v>
      </c>
      <c r="G30" s="1">
        <v>0</v>
      </c>
      <c r="H30" s="1">
        <v>0</v>
      </c>
      <c r="I30" s="152">
        <f t="shared" si="0"/>
        <v>485.44</v>
      </c>
      <c r="J30" s="121">
        <v>0</v>
      </c>
      <c r="K30" s="121">
        <v>0</v>
      </c>
      <c r="L30" s="121">
        <v>0</v>
      </c>
      <c r="M30" s="657">
        <f>IF('Plant Total by Account'!$H$1=1,AB30,IF('Plant Total by Account'!$H$1=2,AI30,"Input Toggle"))</f>
        <v>0</v>
      </c>
      <c r="N30" s="657">
        <f>IF('Plant Total by Account'!$H$1=1,AC30,IF('Plant Total by Account'!$H$1=2,AJ30,"Input Toggle"))</f>
        <v>0</v>
      </c>
      <c r="O30" s="657">
        <f>IF('Plant Total by Account'!$H$1=1,AD30,IF('Plant Total by Account'!$H$1=2,AK30,"Input Toggle"))</f>
        <v>0</v>
      </c>
      <c r="P30" s="657">
        <f t="shared" si="1"/>
        <v>485.44</v>
      </c>
      <c r="Q30" s="657">
        <f t="shared" si="2"/>
        <v>0</v>
      </c>
      <c r="R30" s="657">
        <f t="shared" si="3"/>
        <v>0</v>
      </c>
      <c r="S30" s="657">
        <v>0</v>
      </c>
      <c r="T30" s="657">
        <v>0</v>
      </c>
      <c r="U30" s="657">
        <v>0</v>
      </c>
      <c r="V30" s="657">
        <f>IF('Plant Total by Account'!$H$1=1,AE30,IF('Plant Total by Account'!$H$1=2,AM30,"Input Toggle"))</f>
        <v>0</v>
      </c>
      <c r="W30" s="657">
        <f>IF('Plant Total by Account'!$H$1=1,AF30,IF('Plant Total by Account'!$H$1=2,AN30,"Input Toggle"))</f>
        <v>0</v>
      </c>
      <c r="X30" s="657">
        <f>IF('Plant Total by Account'!$H$1=1,AG30,IF('Plant Total by Account'!$H$1=2,AO30,"Input Toggle"))</f>
        <v>0</v>
      </c>
      <c r="Y30" s="657">
        <f t="shared" si="4"/>
        <v>0</v>
      </c>
      <c r="Z30" s="121">
        <f t="shared" si="5"/>
        <v>0</v>
      </c>
      <c r="AA30" s="121">
        <f t="shared" si="6"/>
        <v>0</v>
      </c>
      <c r="AB30" s="657">
        <f>SUMIF('ISO w_System Splits'!$D$8:$D$469,$B30,'ISO w_System Splits'!G$8:G$469)</f>
        <v>0</v>
      </c>
      <c r="AC30" s="657">
        <f>SUMIF('ISO w_System Splits'!$D$8:$D$469,$B30,'ISO w_System Splits'!H$8:H$469)</f>
        <v>0</v>
      </c>
      <c r="AD30" s="657">
        <f>SUMIF('ISO w_System Splits'!$D$8:$D$469,$B30,'ISO w_System Splits'!I$8:I$469)</f>
        <v>0</v>
      </c>
      <c r="AE30" s="657">
        <v>0</v>
      </c>
      <c r="AF30" s="657">
        <v>0</v>
      </c>
      <c r="AG30" s="657">
        <v>0</v>
      </c>
      <c r="AH30" s="130"/>
      <c r="AI30" s="657">
        <f>SUMIF('ISO w_System Splits'!$D$8:$D$615,$B30,'ISO w_System Splits'!G$8:G$615)-SUMIF('ISO w_System Splits'!$D$470:$D$520,$B30,'ISO w_System Splits'!G$470:G$520)</f>
        <v>0</v>
      </c>
      <c r="AJ30" s="657">
        <f>SUMIF('ISO w_System Splits'!$D$8:$D$615,$B30,'ISO w_System Splits'!H$8:H$615)-SUMIF('ISO w_System Splits'!$D$470:$D$520,$B30,'ISO w_System Splits'!H$470:H$520)</f>
        <v>0</v>
      </c>
      <c r="AK30" s="657">
        <f>SUMIF('ISO w_System Splits'!$D$8:$D$615,$B30,'ISO w_System Splits'!I$8:I$615)-SUMIF('ISO w_System Splits'!$D$470:$D$520,$B30,'ISO w_System Splits'!I$470:I$520)</f>
        <v>0</v>
      </c>
      <c r="AL30" s="130"/>
      <c r="AM30" s="657">
        <v>0</v>
      </c>
      <c r="AN30" s="657">
        <v>0</v>
      </c>
      <c r="AO30" s="657">
        <v>0</v>
      </c>
      <c r="AP30" s="130"/>
      <c r="AR30">
        <f t="shared" si="7"/>
        <v>0</v>
      </c>
      <c r="AS30">
        <f t="shared" si="8"/>
        <v>0</v>
      </c>
      <c r="AT30">
        <f t="shared" si="9"/>
        <v>0</v>
      </c>
      <c r="AV30">
        <f t="shared" si="10"/>
        <v>0</v>
      </c>
      <c r="AW30">
        <f t="shared" si="11"/>
        <v>0</v>
      </c>
      <c r="AX30">
        <f t="shared" si="12"/>
        <v>0</v>
      </c>
    </row>
    <row r="31" spans="1:50" ht="15" customHeight="1" x14ac:dyDescent="0.25">
      <c r="A31" s="51" t="s">
        <v>1012</v>
      </c>
      <c r="B31" s="20">
        <v>4125</v>
      </c>
      <c r="C31" s="1">
        <v>11414611.949999999</v>
      </c>
      <c r="D31" s="1">
        <v>1761945.9299999995</v>
      </c>
      <c r="E31" s="1">
        <v>1918.1100000000001</v>
      </c>
      <c r="F31" s="1">
        <v>0</v>
      </c>
      <c r="G31" s="1">
        <v>0</v>
      </c>
      <c r="H31" s="1">
        <v>0</v>
      </c>
      <c r="I31" s="152">
        <f t="shared" si="0"/>
        <v>13178475.989999998</v>
      </c>
      <c r="J31" s="121">
        <v>0</v>
      </c>
      <c r="K31" s="121">
        <v>0</v>
      </c>
      <c r="L31" s="121">
        <v>0</v>
      </c>
      <c r="M31" s="657">
        <f>IF('Plant Total by Account'!$H$1=1,AB31,IF('Plant Total by Account'!$H$1=2,AI31,"Input Toggle"))</f>
        <v>8492875.3996889424</v>
      </c>
      <c r="N31" s="657">
        <f>IF('Plant Total by Account'!$H$1=1,AC31,IF('Plant Total by Account'!$H$1=2,AJ31,"Input Toggle"))</f>
        <v>1316772.494567086</v>
      </c>
      <c r="O31" s="657">
        <f>IF('Plant Total by Account'!$H$1=1,AD31,IF('Plant Total by Account'!$H$1=2,AK31,"Input Toggle"))</f>
        <v>1427.1417464084145</v>
      </c>
      <c r="P31" s="657">
        <f t="shared" si="1"/>
        <v>2921736.5503110569</v>
      </c>
      <c r="Q31" s="657">
        <f t="shared" si="2"/>
        <v>445173.43543291348</v>
      </c>
      <c r="R31" s="657">
        <f t="shared" si="3"/>
        <v>490.96825359158561</v>
      </c>
      <c r="S31" s="657">
        <v>0</v>
      </c>
      <c r="T31" s="657">
        <v>0</v>
      </c>
      <c r="U31" s="657">
        <v>0</v>
      </c>
      <c r="V31" s="657">
        <f>IF('Plant Total by Account'!$H$1=1,AE31,IF('Plant Total by Account'!$H$1=2,AM31,"Input Toggle"))</f>
        <v>0</v>
      </c>
      <c r="W31" s="657">
        <f>IF('Plant Total by Account'!$H$1=1,AF31,IF('Plant Total by Account'!$H$1=2,AN31,"Input Toggle"))</f>
        <v>0</v>
      </c>
      <c r="X31" s="657">
        <f>IF('Plant Total by Account'!$H$1=1,AG31,IF('Plant Total by Account'!$H$1=2,AO31,"Input Toggle"))</f>
        <v>0</v>
      </c>
      <c r="Y31" s="657">
        <f t="shared" si="4"/>
        <v>0</v>
      </c>
      <c r="Z31" s="121">
        <f t="shared" si="5"/>
        <v>0</v>
      </c>
      <c r="AA31" s="121">
        <f t="shared" si="6"/>
        <v>0</v>
      </c>
      <c r="AB31" s="657">
        <f>SUMIF('ISO w_System Splits'!$D$8:$D$469,$B31,'ISO w_System Splits'!G$8:G$469)</f>
        <v>8492875.3996889424</v>
      </c>
      <c r="AC31" s="657">
        <f>SUMIF('ISO w_System Splits'!$D$8:$D$469,$B31,'ISO w_System Splits'!H$8:H$469)</f>
        <v>1316772.494567086</v>
      </c>
      <c r="AD31" s="657">
        <f>SUMIF('ISO w_System Splits'!$D$8:$D$469,$B31,'ISO w_System Splits'!I$8:I$469)</f>
        <v>1427.1417464084145</v>
      </c>
      <c r="AE31" s="657">
        <v>0</v>
      </c>
      <c r="AF31" s="657">
        <v>0</v>
      </c>
      <c r="AG31" s="657">
        <v>0</v>
      </c>
      <c r="AH31" s="130"/>
      <c r="AI31" s="657">
        <f>SUMIF('ISO w_System Splits'!$D$8:$D$615,$B31,'ISO w_System Splits'!G$8:G$615)-SUMIF('ISO w_System Splits'!$D$470:$D$520,$B31,'ISO w_System Splits'!G$470:G$520)</f>
        <v>8492875.3996889424</v>
      </c>
      <c r="AJ31" s="657">
        <f>SUMIF('ISO w_System Splits'!$D$8:$D$615,$B31,'ISO w_System Splits'!H$8:H$615)-SUMIF('ISO w_System Splits'!$D$470:$D$520,$B31,'ISO w_System Splits'!H$470:H$520)</f>
        <v>1316772.494567086</v>
      </c>
      <c r="AK31" s="657">
        <f>SUMIF('ISO w_System Splits'!$D$8:$D$615,$B31,'ISO w_System Splits'!I$8:I$615)-SUMIF('ISO w_System Splits'!$D$470:$D$520,$B31,'ISO w_System Splits'!I$470:I$520)</f>
        <v>1427.1417464084145</v>
      </c>
      <c r="AL31" s="130"/>
      <c r="AM31" s="657">
        <v>0</v>
      </c>
      <c r="AN31" s="657">
        <v>0</v>
      </c>
      <c r="AO31" s="657">
        <v>0</v>
      </c>
      <c r="AP31" s="130"/>
      <c r="AR31">
        <f t="shared" si="7"/>
        <v>0</v>
      </c>
      <c r="AS31">
        <f t="shared" si="8"/>
        <v>0</v>
      </c>
      <c r="AT31">
        <f t="shared" si="9"/>
        <v>0</v>
      </c>
      <c r="AV31">
        <f t="shared" si="10"/>
        <v>0</v>
      </c>
      <c r="AW31">
        <f t="shared" si="11"/>
        <v>0</v>
      </c>
      <c r="AX31">
        <f t="shared" si="12"/>
        <v>0</v>
      </c>
    </row>
    <row r="32" spans="1:50" ht="15" customHeight="1" x14ac:dyDescent="0.25">
      <c r="A32" s="51" t="s">
        <v>1322</v>
      </c>
      <c r="B32" s="20">
        <v>4127</v>
      </c>
      <c r="C32" s="1">
        <v>19842.47</v>
      </c>
      <c r="D32" s="1">
        <v>0</v>
      </c>
      <c r="E32" s="1">
        <v>0</v>
      </c>
      <c r="F32" s="1">
        <v>0</v>
      </c>
      <c r="G32" s="1">
        <v>0</v>
      </c>
      <c r="H32" s="1">
        <v>0</v>
      </c>
      <c r="I32" s="152">
        <f t="shared" si="0"/>
        <v>19842.47</v>
      </c>
      <c r="J32" s="121">
        <v>0</v>
      </c>
      <c r="K32" s="121">
        <v>0</v>
      </c>
      <c r="L32" s="121">
        <v>0</v>
      </c>
      <c r="M32" s="657">
        <f>IF('Plant Total by Account'!$H$1=1,AB32,IF('Plant Total by Account'!$H$1=2,AI32,"Input Toggle"))</f>
        <v>19842.470000000005</v>
      </c>
      <c r="N32" s="657">
        <f>IF('Plant Total by Account'!$H$1=1,AC32,IF('Plant Total by Account'!$H$1=2,AJ32,"Input Toggle"))</f>
        <v>0</v>
      </c>
      <c r="O32" s="657">
        <f>IF('Plant Total by Account'!$H$1=1,AD32,IF('Plant Total by Account'!$H$1=2,AK32,"Input Toggle"))</f>
        <v>0</v>
      </c>
      <c r="P32" s="657">
        <f t="shared" si="1"/>
        <v>0</v>
      </c>
      <c r="Q32" s="657">
        <f t="shared" si="2"/>
        <v>0</v>
      </c>
      <c r="R32" s="657">
        <f t="shared" si="3"/>
        <v>0</v>
      </c>
      <c r="S32" s="657">
        <v>0</v>
      </c>
      <c r="T32" s="657">
        <v>0</v>
      </c>
      <c r="U32" s="657">
        <v>0</v>
      </c>
      <c r="V32" s="657">
        <f>IF('Plant Total by Account'!$H$1=1,AE32,IF('Plant Total by Account'!$H$1=2,AM32,"Input Toggle"))</f>
        <v>0</v>
      </c>
      <c r="W32" s="657">
        <f>IF('Plant Total by Account'!$H$1=1,AF32,IF('Plant Total by Account'!$H$1=2,AN32,"Input Toggle"))</f>
        <v>0</v>
      </c>
      <c r="X32" s="657">
        <f>IF('Plant Total by Account'!$H$1=1,AG32,IF('Plant Total by Account'!$H$1=2,AO32,"Input Toggle"))</f>
        <v>0</v>
      </c>
      <c r="Y32" s="657">
        <f t="shared" si="4"/>
        <v>0</v>
      </c>
      <c r="Z32" s="121">
        <f t="shared" si="5"/>
        <v>0</v>
      </c>
      <c r="AA32" s="121">
        <f t="shared" si="6"/>
        <v>0</v>
      </c>
      <c r="AB32" s="657">
        <f>SUMIF('ISO w_System Splits'!$D$8:$D$469,$B32,'ISO w_System Splits'!G$8:G$469)</f>
        <v>19842.470000000005</v>
      </c>
      <c r="AC32" s="657">
        <f>SUMIF('ISO w_System Splits'!$D$8:$D$469,$B32,'ISO w_System Splits'!H$8:H$469)</f>
        <v>0</v>
      </c>
      <c r="AD32" s="657">
        <f>SUMIF('ISO w_System Splits'!$D$8:$D$469,$B32,'ISO w_System Splits'!I$8:I$469)</f>
        <v>0</v>
      </c>
      <c r="AE32" s="657">
        <v>0</v>
      </c>
      <c r="AF32" s="657">
        <v>0</v>
      </c>
      <c r="AG32" s="657">
        <v>0</v>
      </c>
      <c r="AH32" s="130"/>
      <c r="AI32" s="657">
        <f>SUMIF('ISO w_System Splits'!$D$8:$D$615,$B32,'ISO w_System Splits'!G$8:G$615)-SUMIF('ISO w_System Splits'!$D$470:$D$520,$B32,'ISO w_System Splits'!G$470:G$520)</f>
        <v>19842.470000000005</v>
      </c>
      <c r="AJ32" s="657">
        <f>SUMIF('ISO w_System Splits'!$D$8:$D$615,$B32,'ISO w_System Splits'!H$8:H$615)-SUMIF('ISO w_System Splits'!$D$470:$D$520,$B32,'ISO w_System Splits'!H$470:H$520)</f>
        <v>0</v>
      </c>
      <c r="AK32" s="657">
        <f>SUMIF('ISO w_System Splits'!$D$8:$D$615,$B32,'ISO w_System Splits'!I$8:I$615)-SUMIF('ISO w_System Splits'!$D$470:$D$520,$B32,'ISO w_System Splits'!I$470:I$520)</f>
        <v>0</v>
      </c>
      <c r="AL32" s="130"/>
      <c r="AM32" s="657">
        <v>0</v>
      </c>
      <c r="AN32" s="657">
        <v>0</v>
      </c>
      <c r="AO32" s="657">
        <v>0</v>
      </c>
      <c r="AP32" s="130"/>
      <c r="AR32">
        <f t="shared" si="7"/>
        <v>0</v>
      </c>
      <c r="AS32">
        <f t="shared" si="8"/>
        <v>0</v>
      </c>
      <c r="AT32">
        <f t="shared" si="9"/>
        <v>0</v>
      </c>
      <c r="AV32">
        <f t="shared" si="10"/>
        <v>0</v>
      </c>
      <c r="AW32">
        <f t="shared" si="11"/>
        <v>0</v>
      </c>
      <c r="AX32">
        <f t="shared" si="12"/>
        <v>0</v>
      </c>
    </row>
    <row r="33" spans="1:50" ht="15" customHeight="1" x14ac:dyDescent="0.25">
      <c r="A33" s="51" t="s">
        <v>510</v>
      </c>
      <c r="B33" s="20">
        <v>4129</v>
      </c>
      <c r="C33" s="1">
        <v>38460.07</v>
      </c>
      <c r="D33" s="1">
        <v>0</v>
      </c>
      <c r="E33" s="1">
        <v>0</v>
      </c>
      <c r="F33" s="1">
        <v>0</v>
      </c>
      <c r="G33" s="1">
        <v>0</v>
      </c>
      <c r="H33" s="1">
        <v>0</v>
      </c>
      <c r="I33" s="152">
        <f t="shared" si="0"/>
        <v>38460.07</v>
      </c>
      <c r="J33" s="121">
        <v>0</v>
      </c>
      <c r="K33" s="121">
        <v>0</v>
      </c>
      <c r="L33" s="121">
        <v>0</v>
      </c>
      <c r="M33" s="657">
        <f>IF('Plant Total by Account'!$H$1=1,AB33,IF('Plant Total by Account'!$H$1=2,AI33,"Input Toggle"))</f>
        <v>0</v>
      </c>
      <c r="N33" s="657">
        <f>IF('Plant Total by Account'!$H$1=1,AC33,IF('Plant Total by Account'!$H$1=2,AJ33,"Input Toggle"))</f>
        <v>0</v>
      </c>
      <c r="O33" s="657">
        <f>IF('Plant Total by Account'!$H$1=1,AD33,IF('Plant Total by Account'!$H$1=2,AK33,"Input Toggle"))</f>
        <v>0</v>
      </c>
      <c r="P33" s="657">
        <f t="shared" si="1"/>
        <v>38460.07</v>
      </c>
      <c r="Q33" s="657">
        <f t="shared" si="2"/>
        <v>0</v>
      </c>
      <c r="R33" s="657">
        <f t="shared" si="3"/>
        <v>0</v>
      </c>
      <c r="S33" s="657">
        <v>0</v>
      </c>
      <c r="T33" s="657">
        <v>0</v>
      </c>
      <c r="U33" s="657">
        <v>0</v>
      </c>
      <c r="V33" s="657">
        <f>IF('Plant Total by Account'!$H$1=1,AE33,IF('Plant Total by Account'!$H$1=2,AM33,"Input Toggle"))</f>
        <v>0</v>
      </c>
      <c r="W33" s="657">
        <f>IF('Plant Total by Account'!$H$1=1,AF33,IF('Plant Total by Account'!$H$1=2,AN33,"Input Toggle"))</f>
        <v>0</v>
      </c>
      <c r="X33" s="657">
        <f>IF('Plant Total by Account'!$H$1=1,AG33,IF('Plant Total by Account'!$H$1=2,AO33,"Input Toggle"))</f>
        <v>0</v>
      </c>
      <c r="Y33" s="657">
        <f t="shared" si="4"/>
        <v>0</v>
      </c>
      <c r="Z33" s="121">
        <f t="shared" si="5"/>
        <v>0</v>
      </c>
      <c r="AA33" s="121">
        <f t="shared" si="6"/>
        <v>0</v>
      </c>
      <c r="AB33" s="657">
        <f>SUMIF('ISO w_System Splits'!$D$8:$D$469,$B33,'ISO w_System Splits'!G$8:G$469)</f>
        <v>0</v>
      </c>
      <c r="AC33" s="657">
        <f>SUMIF('ISO w_System Splits'!$D$8:$D$469,$B33,'ISO w_System Splits'!H$8:H$469)</f>
        <v>0</v>
      </c>
      <c r="AD33" s="657">
        <f>SUMIF('ISO w_System Splits'!$D$8:$D$469,$B33,'ISO w_System Splits'!I$8:I$469)</f>
        <v>0</v>
      </c>
      <c r="AE33" s="657">
        <v>0</v>
      </c>
      <c r="AF33" s="657">
        <v>0</v>
      </c>
      <c r="AG33" s="657">
        <v>0</v>
      </c>
      <c r="AH33" s="130"/>
      <c r="AI33" s="657">
        <f>SUMIF('ISO w_System Splits'!$D$8:$D$615,$B33,'ISO w_System Splits'!G$8:G$615)-SUMIF('ISO w_System Splits'!$D$470:$D$520,$B33,'ISO w_System Splits'!G$470:G$520)</f>
        <v>0</v>
      </c>
      <c r="AJ33" s="657">
        <f>SUMIF('ISO w_System Splits'!$D$8:$D$615,$B33,'ISO w_System Splits'!H$8:H$615)-SUMIF('ISO w_System Splits'!$D$470:$D$520,$B33,'ISO w_System Splits'!H$470:H$520)</f>
        <v>0</v>
      </c>
      <c r="AK33" s="657">
        <f>SUMIF('ISO w_System Splits'!$D$8:$D$615,$B33,'ISO w_System Splits'!I$8:I$615)-SUMIF('ISO w_System Splits'!$D$470:$D$520,$B33,'ISO w_System Splits'!I$470:I$520)</f>
        <v>0</v>
      </c>
      <c r="AL33" s="130"/>
      <c r="AM33" s="657">
        <v>0</v>
      </c>
      <c r="AN33" s="657">
        <v>0</v>
      </c>
      <c r="AO33" s="657">
        <v>0</v>
      </c>
      <c r="AP33" s="130"/>
      <c r="AR33">
        <f t="shared" si="7"/>
        <v>0</v>
      </c>
      <c r="AS33">
        <f t="shared" si="8"/>
        <v>0</v>
      </c>
      <c r="AT33">
        <f t="shared" si="9"/>
        <v>0</v>
      </c>
      <c r="AV33">
        <f t="shared" si="10"/>
        <v>0</v>
      </c>
      <c r="AW33">
        <f t="shared" si="11"/>
        <v>0</v>
      </c>
      <c r="AX33">
        <f t="shared" si="12"/>
        <v>0</v>
      </c>
    </row>
    <row r="34" spans="1:50" ht="15" customHeight="1" x14ac:dyDescent="0.25">
      <c r="A34" s="51" t="s">
        <v>1323</v>
      </c>
      <c r="B34" s="20">
        <v>4130</v>
      </c>
      <c r="C34" s="1">
        <v>157989.61000000002</v>
      </c>
      <c r="D34" s="1">
        <v>0</v>
      </c>
      <c r="E34" s="1">
        <v>0</v>
      </c>
      <c r="F34" s="1">
        <v>0</v>
      </c>
      <c r="G34" s="1">
        <v>0</v>
      </c>
      <c r="H34" s="1">
        <v>0</v>
      </c>
      <c r="I34" s="152">
        <f t="shared" si="0"/>
        <v>157989.61000000002</v>
      </c>
      <c r="J34" s="121">
        <v>0</v>
      </c>
      <c r="K34" s="121">
        <v>0</v>
      </c>
      <c r="L34" s="121">
        <v>0</v>
      </c>
      <c r="M34" s="657">
        <f>IF('Plant Total by Account'!$H$1=1,AB34,IF('Plant Total by Account'!$H$1=2,AI34,"Input Toggle"))</f>
        <v>157989.61000000002</v>
      </c>
      <c r="N34" s="657">
        <f>IF('Plant Total by Account'!$H$1=1,AC34,IF('Plant Total by Account'!$H$1=2,AJ34,"Input Toggle"))</f>
        <v>0</v>
      </c>
      <c r="O34" s="657">
        <f>IF('Plant Total by Account'!$H$1=1,AD34,IF('Plant Total by Account'!$H$1=2,AK34,"Input Toggle"))</f>
        <v>0</v>
      </c>
      <c r="P34" s="657">
        <f t="shared" si="1"/>
        <v>0</v>
      </c>
      <c r="Q34" s="657">
        <f t="shared" si="2"/>
        <v>0</v>
      </c>
      <c r="R34" s="657">
        <f t="shared" si="3"/>
        <v>0</v>
      </c>
      <c r="S34" s="657">
        <v>0</v>
      </c>
      <c r="T34" s="657">
        <v>0</v>
      </c>
      <c r="U34" s="657">
        <v>0</v>
      </c>
      <c r="V34" s="657">
        <f>IF('Plant Total by Account'!$H$1=1,AE34,IF('Plant Total by Account'!$H$1=2,AM34,"Input Toggle"))</f>
        <v>0</v>
      </c>
      <c r="W34" s="657">
        <f>IF('Plant Total by Account'!$H$1=1,AF34,IF('Plant Total by Account'!$H$1=2,AN34,"Input Toggle"))</f>
        <v>0</v>
      </c>
      <c r="X34" s="657">
        <f>IF('Plant Total by Account'!$H$1=1,AG34,IF('Plant Total by Account'!$H$1=2,AO34,"Input Toggle"))</f>
        <v>0</v>
      </c>
      <c r="Y34" s="657">
        <f t="shared" si="4"/>
        <v>0</v>
      </c>
      <c r="Z34" s="121">
        <f t="shared" si="5"/>
        <v>0</v>
      </c>
      <c r="AA34" s="121">
        <f t="shared" si="6"/>
        <v>0</v>
      </c>
      <c r="AB34" s="657">
        <f>SUMIF('ISO w_System Splits'!$D$8:$D$469,$B34,'ISO w_System Splits'!G$8:G$469)</f>
        <v>157989.61000000002</v>
      </c>
      <c r="AC34" s="657">
        <f>SUMIF('ISO w_System Splits'!$D$8:$D$469,$B34,'ISO w_System Splits'!H$8:H$469)</f>
        <v>0</v>
      </c>
      <c r="AD34" s="657">
        <f>SUMIF('ISO w_System Splits'!$D$8:$D$469,$B34,'ISO w_System Splits'!I$8:I$469)</f>
        <v>0</v>
      </c>
      <c r="AE34" s="657">
        <v>0</v>
      </c>
      <c r="AF34" s="657">
        <v>0</v>
      </c>
      <c r="AG34" s="657">
        <v>0</v>
      </c>
      <c r="AH34" s="130"/>
      <c r="AI34" s="657">
        <f>SUMIF('ISO w_System Splits'!$D$8:$D$615,$B34,'ISO w_System Splits'!G$8:G$615)-SUMIF('ISO w_System Splits'!$D$470:$D$520,$B34,'ISO w_System Splits'!G$470:G$520)</f>
        <v>157989.61000000002</v>
      </c>
      <c r="AJ34" s="657">
        <f>SUMIF('ISO w_System Splits'!$D$8:$D$615,$B34,'ISO w_System Splits'!H$8:H$615)-SUMIF('ISO w_System Splits'!$D$470:$D$520,$B34,'ISO w_System Splits'!H$470:H$520)</f>
        <v>0</v>
      </c>
      <c r="AK34" s="657">
        <f>SUMIF('ISO w_System Splits'!$D$8:$D$615,$B34,'ISO w_System Splits'!I$8:I$615)-SUMIF('ISO w_System Splits'!$D$470:$D$520,$B34,'ISO w_System Splits'!I$470:I$520)</f>
        <v>0</v>
      </c>
      <c r="AL34" s="130"/>
      <c r="AM34" s="657">
        <v>0</v>
      </c>
      <c r="AN34" s="657">
        <v>0</v>
      </c>
      <c r="AO34" s="657">
        <v>0</v>
      </c>
      <c r="AP34" s="130"/>
      <c r="AR34">
        <f t="shared" si="7"/>
        <v>0</v>
      </c>
      <c r="AS34">
        <f t="shared" si="8"/>
        <v>0</v>
      </c>
      <c r="AT34">
        <f t="shared" si="9"/>
        <v>0</v>
      </c>
      <c r="AV34">
        <f t="shared" si="10"/>
        <v>0</v>
      </c>
      <c r="AW34">
        <f t="shared" si="11"/>
        <v>0</v>
      </c>
      <c r="AX34">
        <f t="shared" si="12"/>
        <v>0</v>
      </c>
    </row>
    <row r="35" spans="1:50" ht="15" customHeight="1" x14ac:dyDescent="0.25">
      <c r="A35" t="s">
        <v>511</v>
      </c>
      <c r="B35" s="3">
        <v>4132</v>
      </c>
      <c r="C35" s="1">
        <v>3146.16</v>
      </c>
      <c r="D35" s="1">
        <v>0</v>
      </c>
      <c r="E35" s="1">
        <v>0</v>
      </c>
      <c r="F35" s="1">
        <v>0</v>
      </c>
      <c r="G35" s="1">
        <v>0</v>
      </c>
      <c r="H35" s="1">
        <v>0</v>
      </c>
      <c r="I35" s="152">
        <f t="shared" si="0"/>
        <v>3146.16</v>
      </c>
      <c r="J35" s="121">
        <v>0</v>
      </c>
      <c r="K35" s="121">
        <v>0</v>
      </c>
      <c r="L35" s="121">
        <v>0</v>
      </c>
      <c r="M35" s="657">
        <f>IF('Plant Total by Account'!$H$1=1,AB35,IF('Plant Total by Account'!$H$1=2,AI35,"Input Toggle"))</f>
        <v>3132.068757508694</v>
      </c>
      <c r="N35" s="657">
        <f>IF('Plant Total by Account'!$H$1=1,AC35,IF('Plant Total by Account'!$H$1=2,AJ35,"Input Toggle"))</f>
        <v>0</v>
      </c>
      <c r="O35" s="657">
        <f>IF('Plant Total by Account'!$H$1=1,AD35,IF('Plant Total by Account'!$H$1=2,AK35,"Input Toggle"))</f>
        <v>0</v>
      </c>
      <c r="P35" s="657">
        <f t="shared" si="1"/>
        <v>14.09124249130582</v>
      </c>
      <c r="Q35" s="657">
        <f t="shared" si="2"/>
        <v>0</v>
      </c>
      <c r="R35" s="657">
        <f t="shared" si="3"/>
        <v>0</v>
      </c>
      <c r="S35" s="657">
        <v>0</v>
      </c>
      <c r="T35" s="657">
        <v>0</v>
      </c>
      <c r="U35" s="657">
        <v>0</v>
      </c>
      <c r="V35" s="657">
        <f>IF('Plant Total by Account'!$H$1=1,AE35,IF('Plant Total by Account'!$H$1=2,AM35,"Input Toggle"))</f>
        <v>0</v>
      </c>
      <c r="W35" s="657">
        <f>IF('Plant Total by Account'!$H$1=1,AF35,IF('Plant Total by Account'!$H$1=2,AN35,"Input Toggle"))</f>
        <v>0</v>
      </c>
      <c r="X35" s="657">
        <f>IF('Plant Total by Account'!$H$1=1,AG35,IF('Plant Total by Account'!$H$1=2,AO35,"Input Toggle"))</f>
        <v>0</v>
      </c>
      <c r="Y35" s="657">
        <f t="shared" si="4"/>
        <v>0</v>
      </c>
      <c r="Z35" s="121">
        <f t="shared" si="5"/>
        <v>0</v>
      </c>
      <c r="AA35" s="121">
        <f t="shared" si="6"/>
        <v>0</v>
      </c>
      <c r="AB35" s="657">
        <f>SUMIF('ISO w_System Splits'!$D$8:$D$469,$B35,'ISO w_System Splits'!G$8:G$469)</f>
        <v>0</v>
      </c>
      <c r="AC35" s="657">
        <f>SUMIF('ISO w_System Splits'!$D$8:$D$469,$B35,'ISO w_System Splits'!H$8:H$469)</f>
        <v>0</v>
      </c>
      <c r="AD35" s="657">
        <f>SUMIF('ISO w_System Splits'!$D$8:$D$469,$B35,'ISO w_System Splits'!I$8:I$469)</f>
        <v>0</v>
      </c>
      <c r="AE35" s="657">
        <v>0</v>
      </c>
      <c r="AF35" s="657">
        <v>0</v>
      </c>
      <c r="AG35" s="657">
        <v>0</v>
      </c>
      <c r="AH35" s="130"/>
      <c r="AI35" s="657">
        <f>SUMIF('ISO w_System Splits'!$D$8:$D$615,$B35,'ISO w_System Splits'!G$8:G$615)-SUMIF('ISO w_System Splits'!$D$470:$D$520,$B35,'ISO w_System Splits'!G$470:G$520)</f>
        <v>3132.068757508694</v>
      </c>
      <c r="AJ35" s="657">
        <f>SUMIF('ISO w_System Splits'!$D$8:$D$615,$B35,'ISO w_System Splits'!H$8:H$615)-SUMIF('ISO w_System Splits'!$D$470:$D$520,$B35,'ISO w_System Splits'!H$470:H$520)</f>
        <v>0</v>
      </c>
      <c r="AK35" s="657">
        <f>SUMIF('ISO w_System Splits'!$D$8:$D$615,$B35,'ISO w_System Splits'!I$8:I$615)-SUMIF('ISO w_System Splits'!$D$470:$D$520,$B35,'ISO w_System Splits'!I$470:I$520)</f>
        <v>0</v>
      </c>
      <c r="AL35" s="130"/>
      <c r="AM35" s="657">
        <v>0</v>
      </c>
      <c r="AN35" s="657">
        <v>0</v>
      </c>
      <c r="AO35" s="657">
        <v>0</v>
      </c>
      <c r="AP35" s="130"/>
      <c r="AQ35" s="120">
        <v>1</v>
      </c>
      <c r="AR35">
        <f t="shared" si="7"/>
        <v>-3132.068757508694</v>
      </c>
      <c r="AS35">
        <f t="shared" si="8"/>
        <v>0</v>
      </c>
      <c r="AT35">
        <f t="shared" si="9"/>
        <v>0</v>
      </c>
      <c r="AV35">
        <f t="shared" si="10"/>
        <v>0</v>
      </c>
      <c r="AW35">
        <f t="shared" si="11"/>
        <v>0</v>
      </c>
      <c r="AX35">
        <f t="shared" si="12"/>
        <v>0</v>
      </c>
    </row>
    <row r="36" spans="1:50" ht="15" customHeight="1" x14ac:dyDescent="0.25">
      <c r="A36" t="s">
        <v>512</v>
      </c>
      <c r="B36" s="49">
        <v>4133</v>
      </c>
      <c r="C36" s="1">
        <v>53165.170000000006</v>
      </c>
      <c r="D36" s="1">
        <v>0</v>
      </c>
      <c r="E36" s="1">
        <v>0</v>
      </c>
      <c r="F36" s="1">
        <v>0</v>
      </c>
      <c r="G36" s="1">
        <v>0</v>
      </c>
      <c r="H36" s="1">
        <v>0</v>
      </c>
      <c r="I36" s="152">
        <f t="shared" si="0"/>
        <v>53165.170000000006</v>
      </c>
      <c r="J36" s="121">
        <v>0</v>
      </c>
      <c r="K36" s="121">
        <v>0</v>
      </c>
      <c r="L36" s="121">
        <v>0</v>
      </c>
      <c r="M36" s="657">
        <f>IF('Plant Total by Account'!$H$1=1,AB36,IF('Plant Total by Account'!$H$1=2,AI36,"Input Toggle"))</f>
        <v>0</v>
      </c>
      <c r="N36" s="657">
        <f>IF('Plant Total by Account'!$H$1=1,AC36,IF('Plant Total by Account'!$H$1=2,AJ36,"Input Toggle"))</f>
        <v>0</v>
      </c>
      <c r="O36" s="657">
        <f>IF('Plant Total by Account'!$H$1=1,AD36,IF('Plant Total by Account'!$H$1=2,AK36,"Input Toggle"))</f>
        <v>0</v>
      </c>
      <c r="P36" s="657">
        <f t="shared" si="1"/>
        <v>53165.170000000006</v>
      </c>
      <c r="Q36" s="657">
        <f t="shared" si="2"/>
        <v>0</v>
      </c>
      <c r="R36" s="657">
        <f t="shared" si="3"/>
        <v>0</v>
      </c>
      <c r="S36" s="657">
        <v>0</v>
      </c>
      <c r="T36" s="657">
        <v>0</v>
      </c>
      <c r="U36" s="657">
        <v>0</v>
      </c>
      <c r="V36" s="657">
        <f>IF('Plant Total by Account'!$H$1=1,AE36,IF('Plant Total by Account'!$H$1=2,AM36,"Input Toggle"))</f>
        <v>0</v>
      </c>
      <c r="W36" s="657">
        <f>IF('Plant Total by Account'!$H$1=1,AF36,IF('Plant Total by Account'!$H$1=2,AN36,"Input Toggle"))</f>
        <v>0</v>
      </c>
      <c r="X36" s="657">
        <f>IF('Plant Total by Account'!$H$1=1,AG36,IF('Plant Total by Account'!$H$1=2,AO36,"Input Toggle"))</f>
        <v>0</v>
      </c>
      <c r="Y36" s="657">
        <f t="shared" si="4"/>
        <v>0</v>
      </c>
      <c r="Z36" s="121">
        <f t="shared" si="5"/>
        <v>0</v>
      </c>
      <c r="AA36" s="121">
        <f t="shared" si="6"/>
        <v>0</v>
      </c>
      <c r="AB36" s="657">
        <f>SUMIF('ISO w_System Splits'!$D$8:$D$469,$B36,'ISO w_System Splits'!G$8:G$469)</f>
        <v>0</v>
      </c>
      <c r="AC36" s="657">
        <f>SUMIF('ISO w_System Splits'!$D$8:$D$469,$B36,'ISO w_System Splits'!H$8:H$469)</f>
        <v>0</v>
      </c>
      <c r="AD36" s="657">
        <f>SUMIF('ISO w_System Splits'!$D$8:$D$469,$B36,'ISO w_System Splits'!I$8:I$469)</f>
        <v>0</v>
      </c>
      <c r="AE36" s="657">
        <v>0</v>
      </c>
      <c r="AF36" s="657">
        <v>0</v>
      </c>
      <c r="AG36" s="657">
        <v>0</v>
      </c>
      <c r="AH36" s="130"/>
      <c r="AI36" s="657">
        <f>SUMIF('ISO w_System Splits'!$D$8:$D$615,$B36,'ISO w_System Splits'!G$8:G$615)-SUMIF('ISO w_System Splits'!$D$470:$D$520,$B36,'ISO w_System Splits'!G$470:G$520)</f>
        <v>0</v>
      </c>
      <c r="AJ36" s="657">
        <f>SUMIF('ISO w_System Splits'!$D$8:$D$615,$B36,'ISO w_System Splits'!H$8:H$615)-SUMIF('ISO w_System Splits'!$D$470:$D$520,$B36,'ISO w_System Splits'!H$470:H$520)</f>
        <v>0</v>
      </c>
      <c r="AK36" s="657">
        <f>SUMIF('ISO w_System Splits'!$D$8:$D$615,$B36,'ISO w_System Splits'!I$8:I$615)-SUMIF('ISO w_System Splits'!$D$470:$D$520,$B36,'ISO w_System Splits'!I$470:I$520)</f>
        <v>0</v>
      </c>
      <c r="AL36" s="130"/>
      <c r="AM36" s="657">
        <v>0</v>
      </c>
      <c r="AN36" s="657">
        <v>0</v>
      </c>
      <c r="AO36" s="657">
        <v>0</v>
      </c>
      <c r="AP36" s="130"/>
      <c r="AR36">
        <f t="shared" si="7"/>
        <v>0</v>
      </c>
      <c r="AS36">
        <f t="shared" si="8"/>
        <v>0</v>
      </c>
      <c r="AT36">
        <f t="shared" si="9"/>
        <v>0</v>
      </c>
      <c r="AV36">
        <f t="shared" si="10"/>
        <v>0</v>
      </c>
      <c r="AW36">
        <f t="shared" si="11"/>
        <v>0</v>
      </c>
      <c r="AX36">
        <f t="shared" si="12"/>
        <v>0</v>
      </c>
    </row>
    <row r="37" spans="1:50" ht="15" customHeight="1" x14ac:dyDescent="0.25">
      <c r="A37" t="s">
        <v>513</v>
      </c>
      <c r="B37" s="3">
        <v>4135</v>
      </c>
      <c r="C37" s="1">
        <v>2211888.9</v>
      </c>
      <c r="D37" s="1">
        <v>0</v>
      </c>
      <c r="E37" s="1">
        <v>0</v>
      </c>
      <c r="F37" s="1">
        <v>0</v>
      </c>
      <c r="G37" s="1">
        <v>0</v>
      </c>
      <c r="H37" s="1">
        <v>0</v>
      </c>
      <c r="I37" s="152">
        <f t="shared" si="0"/>
        <v>2211888.9</v>
      </c>
      <c r="J37" s="121">
        <v>0</v>
      </c>
      <c r="K37" s="121">
        <v>0</v>
      </c>
      <c r="L37" s="121">
        <v>0</v>
      </c>
      <c r="M37" s="657">
        <f>IF('Plant Total by Account'!$H$1=1,AB37,IF('Plant Total by Account'!$H$1=2,AI37,"Input Toggle"))</f>
        <v>1443554.0104040431</v>
      </c>
      <c r="N37" s="657">
        <f>IF('Plant Total by Account'!$H$1=1,AC37,IF('Plant Total by Account'!$H$1=2,AJ37,"Input Toggle"))</f>
        <v>0</v>
      </c>
      <c r="O37" s="657">
        <f>IF('Plant Total by Account'!$H$1=1,AD37,IF('Plant Total by Account'!$H$1=2,AK37,"Input Toggle"))</f>
        <v>0</v>
      </c>
      <c r="P37" s="657">
        <f t="shared" ref="P37:P68" si="13">C37-M37</f>
        <v>768334.88959595677</v>
      </c>
      <c r="Q37" s="657">
        <f t="shared" ref="Q37:Q68" si="14">IF((D37-N37)&lt;0,D37,D37-N37)</f>
        <v>0</v>
      </c>
      <c r="R37" s="657">
        <f t="shared" ref="R37:R68" si="15">E37-O37</f>
        <v>0</v>
      </c>
      <c r="S37" s="657">
        <v>0</v>
      </c>
      <c r="T37" s="657">
        <v>0</v>
      </c>
      <c r="U37" s="657">
        <v>0</v>
      </c>
      <c r="V37" s="657">
        <f>IF('Plant Total by Account'!$H$1=1,AE37,IF('Plant Total by Account'!$H$1=2,AM37,"Input Toggle"))</f>
        <v>0</v>
      </c>
      <c r="W37" s="657">
        <f>IF('Plant Total by Account'!$H$1=1,AF37,IF('Plant Total by Account'!$H$1=2,AN37,"Input Toggle"))</f>
        <v>0</v>
      </c>
      <c r="X37" s="657">
        <f>IF('Plant Total by Account'!$H$1=1,AG37,IF('Plant Total by Account'!$H$1=2,AO37,"Input Toggle"))</f>
        <v>0</v>
      </c>
      <c r="Y37" s="657">
        <f t="shared" ref="Y37:Y68" si="16">F37-V37</f>
        <v>0</v>
      </c>
      <c r="Z37" s="121">
        <f t="shared" ref="Z37:Z68" si="17">G37-W37</f>
        <v>0</v>
      </c>
      <c r="AA37" s="121">
        <f t="shared" ref="AA37:AA68" si="18">H37-X37</f>
        <v>0</v>
      </c>
      <c r="AB37" s="657">
        <f>SUMIF('ISO w_System Splits'!$D$8:$D$469,$B37,'ISO w_System Splits'!G$8:G$469)</f>
        <v>1443554.0104040431</v>
      </c>
      <c r="AC37" s="657">
        <f>SUMIF('ISO w_System Splits'!$D$8:$D$469,$B37,'ISO w_System Splits'!H$8:H$469)</f>
        <v>0</v>
      </c>
      <c r="AD37" s="657">
        <f>SUMIF('ISO w_System Splits'!$D$8:$D$469,$B37,'ISO w_System Splits'!I$8:I$469)</f>
        <v>0</v>
      </c>
      <c r="AE37" s="657">
        <v>0</v>
      </c>
      <c r="AF37" s="657">
        <v>0</v>
      </c>
      <c r="AG37" s="657">
        <v>0</v>
      </c>
      <c r="AH37" s="130"/>
      <c r="AI37" s="657">
        <f>SUMIF('ISO w_System Splits'!$D$8:$D$615,$B37,'ISO w_System Splits'!G$8:G$615)-SUMIF('ISO w_System Splits'!$D$470:$D$520,$B37,'ISO w_System Splits'!G$470:G$520)</f>
        <v>1443554.0104040431</v>
      </c>
      <c r="AJ37" s="657">
        <f>SUMIF('ISO w_System Splits'!$D$8:$D$615,$B37,'ISO w_System Splits'!H$8:H$615)-SUMIF('ISO w_System Splits'!$D$470:$D$520,$B37,'ISO w_System Splits'!H$470:H$520)</f>
        <v>0</v>
      </c>
      <c r="AK37" s="657">
        <f>SUMIF('ISO w_System Splits'!$D$8:$D$615,$B37,'ISO w_System Splits'!I$8:I$615)-SUMIF('ISO w_System Splits'!$D$470:$D$520,$B37,'ISO w_System Splits'!I$470:I$520)</f>
        <v>0</v>
      </c>
      <c r="AL37" s="130"/>
      <c r="AM37" s="657">
        <v>0</v>
      </c>
      <c r="AN37" s="657">
        <v>0</v>
      </c>
      <c r="AO37" s="657">
        <v>0</v>
      </c>
      <c r="AP37" s="130"/>
      <c r="AR37">
        <f t="shared" ref="AR37:AR68" si="19">AB:AB-AI:AI</f>
        <v>0</v>
      </c>
      <c r="AS37">
        <f t="shared" ref="AS37:AS68" si="20">AC:AC-AJ:AJ</f>
        <v>0</v>
      </c>
      <c r="AT37">
        <f t="shared" ref="AT37:AT68" si="21">AD:AD-AK:AK</f>
        <v>0</v>
      </c>
      <c r="AV37">
        <f t="shared" ref="AV37:AV68" si="22">AE:AE-AM:AM</f>
        <v>0</v>
      </c>
      <c r="AW37">
        <f t="shared" ref="AW37:AW68" si="23">AF:AF-AN:AN</f>
        <v>0</v>
      </c>
      <c r="AX37">
        <f t="shared" ref="AX37:AX68" si="24">AG:AG-AO:AO</f>
        <v>0</v>
      </c>
    </row>
    <row r="38" spans="1:50" ht="15" customHeight="1" x14ac:dyDescent="0.25">
      <c r="A38" t="s">
        <v>1324</v>
      </c>
      <c r="B38" s="120">
        <v>4136</v>
      </c>
      <c r="C38" s="1">
        <v>1330373</v>
      </c>
      <c r="D38" s="1">
        <v>0</v>
      </c>
      <c r="E38" s="1">
        <v>0</v>
      </c>
      <c r="F38" s="1">
        <v>0</v>
      </c>
      <c r="G38" s="1">
        <v>0</v>
      </c>
      <c r="H38" s="1">
        <v>0</v>
      </c>
      <c r="I38" s="152">
        <f t="shared" si="0"/>
        <v>1330373</v>
      </c>
      <c r="J38" s="121">
        <v>0</v>
      </c>
      <c r="K38" s="121">
        <v>0</v>
      </c>
      <c r="L38" s="121">
        <v>0</v>
      </c>
      <c r="M38" s="657">
        <f>IF('Plant Total by Account'!$H$1=1,AB38,IF('Plant Total by Account'!$H$1=2,AI38,"Input Toggle"))</f>
        <v>1330373</v>
      </c>
      <c r="N38" s="657">
        <f>IF('Plant Total by Account'!$H$1=1,AC38,IF('Plant Total by Account'!$H$1=2,AJ38,"Input Toggle"))</f>
        <v>0</v>
      </c>
      <c r="O38" s="657">
        <f>IF('Plant Total by Account'!$H$1=1,AD38,IF('Plant Total by Account'!$H$1=2,AK38,"Input Toggle"))</f>
        <v>0</v>
      </c>
      <c r="P38" s="657">
        <f t="shared" si="13"/>
        <v>0</v>
      </c>
      <c r="Q38" s="657">
        <f t="shared" si="14"/>
        <v>0</v>
      </c>
      <c r="R38" s="657">
        <f t="shared" si="15"/>
        <v>0</v>
      </c>
      <c r="S38" s="657">
        <v>0</v>
      </c>
      <c r="T38" s="657">
        <v>0</v>
      </c>
      <c r="U38" s="657">
        <v>0</v>
      </c>
      <c r="V38" s="657">
        <f>IF('Plant Total by Account'!$H$1=1,AE38,IF('Plant Total by Account'!$H$1=2,AM38,"Input Toggle"))</f>
        <v>0</v>
      </c>
      <c r="W38" s="657">
        <f>IF('Plant Total by Account'!$H$1=1,AF38,IF('Plant Total by Account'!$H$1=2,AN38,"Input Toggle"))</f>
        <v>0</v>
      </c>
      <c r="X38" s="657">
        <f>IF('Plant Total by Account'!$H$1=1,AG38,IF('Plant Total by Account'!$H$1=2,AO38,"Input Toggle"))</f>
        <v>0</v>
      </c>
      <c r="Y38" s="657">
        <f t="shared" si="16"/>
        <v>0</v>
      </c>
      <c r="Z38" s="121">
        <f t="shared" si="17"/>
        <v>0</v>
      </c>
      <c r="AA38" s="121">
        <f t="shared" si="18"/>
        <v>0</v>
      </c>
      <c r="AB38" s="657">
        <f>SUMIF('ISO w_System Splits'!$D$8:$D$469,$B38,'ISO w_System Splits'!G$8:G$469)</f>
        <v>1330373</v>
      </c>
      <c r="AC38" s="657">
        <f>SUMIF('ISO w_System Splits'!$D$8:$D$469,$B38,'ISO w_System Splits'!H$8:H$469)</f>
        <v>0</v>
      </c>
      <c r="AD38" s="657">
        <f>SUMIF('ISO w_System Splits'!$D$8:$D$469,$B38,'ISO w_System Splits'!I$8:I$469)</f>
        <v>0</v>
      </c>
      <c r="AE38" s="657">
        <v>0</v>
      </c>
      <c r="AF38" s="657">
        <v>0</v>
      </c>
      <c r="AG38" s="657">
        <v>0</v>
      </c>
      <c r="AH38" s="130"/>
      <c r="AI38" s="657">
        <f>SUMIF('ISO w_System Splits'!$D$8:$D$615,$B38,'ISO w_System Splits'!G$8:G$615)-SUMIF('ISO w_System Splits'!$D$470:$D$520,$B38,'ISO w_System Splits'!G$470:G$520)</f>
        <v>1330373</v>
      </c>
      <c r="AJ38" s="657">
        <f>SUMIF('ISO w_System Splits'!$D$8:$D$615,$B38,'ISO w_System Splits'!H$8:H$615)-SUMIF('ISO w_System Splits'!$D$470:$D$520,$B38,'ISO w_System Splits'!H$470:H$520)</f>
        <v>0</v>
      </c>
      <c r="AK38" s="657">
        <f>SUMIF('ISO w_System Splits'!$D$8:$D$615,$B38,'ISO w_System Splits'!I$8:I$615)-SUMIF('ISO w_System Splits'!$D$470:$D$520,$B38,'ISO w_System Splits'!I$470:I$520)</f>
        <v>0</v>
      </c>
      <c r="AL38" s="130"/>
      <c r="AM38" s="657">
        <v>0</v>
      </c>
      <c r="AN38" s="657">
        <v>0</v>
      </c>
      <c r="AO38" s="657">
        <v>0</v>
      </c>
      <c r="AP38" s="130"/>
      <c r="AR38">
        <f t="shared" si="19"/>
        <v>0</v>
      </c>
      <c r="AS38">
        <f t="shared" si="20"/>
        <v>0</v>
      </c>
      <c r="AT38">
        <f t="shared" si="21"/>
        <v>0</v>
      </c>
      <c r="AV38">
        <f t="shared" si="22"/>
        <v>0</v>
      </c>
      <c r="AW38">
        <f t="shared" si="23"/>
        <v>0</v>
      </c>
      <c r="AX38">
        <f t="shared" si="24"/>
        <v>0</v>
      </c>
    </row>
    <row r="39" spans="1:50" ht="15" customHeight="1" x14ac:dyDescent="0.25">
      <c r="A39" t="s">
        <v>1324</v>
      </c>
      <c r="B39" s="120">
        <v>4137</v>
      </c>
      <c r="C39" s="1">
        <v>16589.080000000002</v>
      </c>
      <c r="D39" s="1">
        <v>0</v>
      </c>
      <c r="E39" s="1">
        <v>0</v>
      </c>
      <c r="F39" s="1">
        <v>0</v>
      </c>
      <c r="G39" s="1">
        <v>0</v>
      </c>
      <c r="H39" s="1">
        <v>0</v>
      </c>
      <c r="I39" s="152">
        <f t="shared" si="0"/>
        <v>16589.080000000002</v>
      </c>
      <c r="J39" s="121">
        <v>0</v>
      </c>
      <c r="K39" s="121">
        <v>0</v>
      </c>
      <c r="L39" s="121">
        <v>0</v>
      </c>
      <c r="M39" s="657">
        <f>IF('Plant Total by Account'!$H$1=1,AB39,IF('Plant Total by Account'!$H$1=2,AI39,"Input Toggle"))</f>
        <v>16589.080000000002</v>
      </c>
      <c r="N39" s="657">
        <f>IF('Plant Total by Account'!$H$1=1,AC39,IF('Plant Total by Account'!$H$1=2,AJ39,"Input Toggle"))</f>
        <v>0</v>
      </c>
      <c r="O39" s="657">
        <f>IF('Plant Total by Account'!$H$1=1,AD39,IF('Plant Total by Account'!$H$1=2,AK39,"Input Toggle"))</f>
        <v>0</v>
      </c>
      <c r="P39" s="660">
        <f t="shared" si="13"/>
        <v>0</v>
      </c>
      <c r="Q39" s="657">
        <f t="shared" si="14"/>
        <v>0</v>
      </c>
      <c r="R39" s="657">
        <f t="shared" si="15"/>
        <v>0</v>
      </c>
      <c r="S39" s="657">
        <v>0</v>
      </c>
      <c r="T39" s="657">
        <v>0</v>
      </c>
      <c r="U39" s="657">
        <v>0</v>
      </c>
      <c r="V39" s="657">
        <f>IF('Plant Total by Account'!$H$1=1,AE39,IF('Plant Total by Account'!$H$1=2,AM39,"Input Toggle"))</f>
        <v>0</v>
      </c>
      <c r="W39" s="657">
        <f>IF('Plant Total by Account'!$H$1=1,AF39,IF('Plant Total by Account'!$H$1=2,AN39,"Input Toggle"))</f>
        <v>0</v>
      </c>
      <c r="X39" s="657">
        <f>IF('Plant Total by Account'!$H$1=1,AG39,IF('Plant Total by Account'!$H$1=2,AO39,"Input Toggle"))</f>
        <v>0</v>
      </c>
      <c r="Y39" s="657">
        <f t="shared" si="16"/>
        <v>0</v>
      </c>
      <c r="Z39" s="121">
        <f t="shared" si="17"/>
        <v>0</v>
      </c>
      <c r="AA39" s="121">
        <f t="shared" si="18"/>
        <v>0</v>
      </c>
      <c r="AB39" s="657">
        <f>SUMIF('ISO w_System Splits'!$D$8:$D$469,$B39,'ISO w_System Splits'!G$8:G$469)</f>
        <v>16589.080000000002</v>
      </c>
      <c r="AC39" s="657">
        <f>SUMIF('ISO w_System Splits'!$D$8:$D$469,$B39,'ISO w_System Splits'!H$8:H$469)</f>
        <v>0</v>
      </c>
      <c r="AD39" s="657">
        <f>SUMIF('ISO w_System Splits'!$D$8:$D$469,$B39,'ISO w_System Splits'!I$8:I$469)</f>
        <v>0</v>
      </c>
      <c r="AE39" s="657">
        <v>0</v>
      </c>
      <c r="AF39" s="657">
        <v>0</v>
      </c>
      <c r="AG39" s="657">
        <v>0</v>
      </c>
      <c r="AH39" s="130"/>
      <c r="AI39" s="657">
        <f>SUMIF('ISO w_System Splits'!$D$8:$D$615,$B39,'ISO w_System Splits'!G$8:G$615)-SUMIF('ISO w_System Splits'!$D$470:$D$520,$B39,'ISO w_System Splits'!G$470:G$520)</f>
        <v>16589.080000000002</v>
      </c>
      <c r="AJ39" s="657">
        <f>SUMIF('ISO w_System Splits'!$D$8:$D$615,$B39,'ISO w_System Splits'!H$8:H$615)-SUMIF('ISO w_System Splits'!$D$470:$D$520,$B39,'ISO w_System Splits'!H$470:H$520)</f>
        <v>0</v>
      </c>
      <c r="AK39" s="657">
        <f>SUMIF('ISO w_System Splits'!$D$8:$D$615,$B39,'ISO w_System Splits'!I$8:I$615)-SUMIF('ISO w_System Splits'!$D$470:$D$520,$B39,'ISO w_System Splits'!I$470:I$520)</f>
        <v>0</v>
      </c>
      <c r="AL39" s="130"/>
      <c r="AM39" s="657">
        <v>0</v>
      </c>
      <c r="AN39" s="657">
        <v>0</v>
      </c>
      <c r="AO39" s="657">
        <v>0</v>
      </c>
      <c r="AP39" s="130"/>
      <c r="AR39">
        <f t="shared" si="19"/>
        <v>0</v>
      </c>
      <c r="AS39">
        <f t="shared" si="20"/>
        <v>0</v>
      </c>
      <c r="AT39">
        <f t="shared" si="21"/>
        <v>0</v>
      </c>
      <c r="AV39">
        <f t="shared" si="22"/>
        <v>0</v>
      </c>
      <c r="AW39">
        <f t="shared" si="23"/>
        <v>0</v>
      </c>
      <c r="AX39">
        <f t="shared" si="24"/>
        <v>0</v>
      </c>
    </row>
    <row r="40" spans="1:50" ht="15" customHeight="1" x14ac:dyDescent="0.25">
      <c r="A40" t="s">
        <v>1003</v>
      </c>
      <c r="B40" s="120">
        <v>4138</v>
      </c>
      <c r="C40" s="1">
        <v>9600704.3000000007</v>
      </c>
      <c r="D40" s="1">
        <v>0</v>
      </c>
      <c r="E40" s="1">
        <v>98.19</v>
      </c>
      <c r="F40" s="1">
        <v>0</v>
      </c>
      <c r="G40" s="1">
        <v>0</v>
      </c>
      <c r="H40" s="1">
        <v>0</v>
      </c>
      <c r="I40" s="152">
        <f t="shared" si="0"/>
        <v>9600802.4900000002</v>
      </c>
      <c r="J40" s="121">
        <v>0</v>
      </c>
      <c r="K40" s="121">
        <v>0</v>
      </c>
      <c r="L40" s="121">
        <v>0</v>
      </c>
      <c r="M40" s="657">
        <f>IF('Plant Total by Account'!$H$1=1,AB40,IF('Plant Total by Account'!$H$1=2,AI40,"Input Toggle"))</f>
        <v>9605387.3200000003</v>
      </c>
      <c r="N40" s="657">
        <f>IF('Plant Total by Account'!$H$1=1,AC40,IF('Plant Total by Account'!$H$1=2,AJ40,"Input Toggle"))</f>
        <v>0</v>
      </c>
      <c r="O40" s="657">
        <f>IF('Plant Total by Account'!$H$1=1,AD40,IF('Plant Total by Account'!$H$1=2,AK40,"Input Toggle"))</f>
        <v>98.189999999999984</v>
      </c>
      <c r="P40" s="660">
        <f t="shared" si="13"/>
        <v>-4683.019999999553</v>
      </c>
      <c r="Q40" s="657">
        <f t="shared" si="14"/>
        <v>0</v>
      </c>
      <c r="R40" s="657">
        <f t="shared" si="15"/>
        <v>0</v>
      </c>
      <c r="S40" s="657">
        <v>0</v>
      </c>
      <c r="T40" s="657">
        <v>0</v>
      </c>
      <c r="U40" s="657">
        <v>0</v>
      </c>
      <c r="V40" s="657">
        <f>IF('Plant Total by Account'!$H$1=1,AE40,IF('Plant Total by Account'!$H$1=2,AM40,"Input Toggle"))</f>
        <v>0</v>
      </c>
      <c r="W40" s="657">
        <f>IF('Plant Total by Account'!$H$1=1,AF40,IF('Plant Total by Account'!$H$1=2,AN40,"Input Toggle"))</f>
        <v>0</v>
      </c>
      <c r="X40" s="657">
        <f>IF('Plant Total by Account'!$H$1=1,AG40,IF('Plant Total by Account'!$H$1=2,AO40,"Input Toggle"))</f>
        <v>0</v>
      </c>
      <c r="Y40" s="657">
        <f t="shared" si="16"/>
        <v>0</v>
      </c>
      <c r="Z40" s="121">
        <f t="shared" si="17"/>
        <v>0</v>
      </c>
      <c r="AA40" s="121">
        <f t="shared" si="18"/>
        <v>0</v>
      </c>
      <c r="AB40" s="657">
        <f>SUMIF('ISO w_System Splits'!$D$8:$D$469,$B40,'ISO w_System Splits'!G$8:G$469)</f>
        <v>9605387.3200000003</v>
      </c>
      <c r="AC40" s="657">
        <f>SUMIF('ISO w_System Splits'!$D$8:$D$469,$B40,'ISO w_System Splits'!H$8:H$469)</f>
        <v>0</v>
      </c>
      <c r="AD40" s="657">
        <f>SUMIF('ISO w_System Splits'!$D$8:$D$469,$B40,'ISO w_System Splits'!I$8:I$469)</f>
        <v>98.189999999999984</v>
      </c>
      <c r="AE40" s="657">
        <v>0</v>
      </c>
      <c r="AF40" s="657">
        <v>0</v>
      </c>
      <c r="AG40" s="657">
        <v>0</v>
      </c>
      <c r="AH40" s="130"/>
      <c r="AI40" s="657">
        <f>SUMIF('ISO w_System Splits'!$D$8:$D$615,$B40,'ISO w_System Splits'!G$8:G$615)-SUMIF('ISO w_System Splits'!$D$470:$D$520,$B40,'ISO w_System Splits'!G$470:G$520)</f>
        <v>9605387.3200000003</v>
      </c>
      <c r="AJ40" s="657">
        <f>SUMIF('ISO w_System Splits'!$D$8:$D$615,$B40,'ISO w_System Splits'!H$8:H$615)-SUMIF('ISO w_System Splits'!$D$470:$D$520,$B40,'ISO w_System Splits'!H$470:H$520)</f>
        <v>0</v>
      </c>
      <c r="AK40" s="657">
        <f>SUMIF('ISO w_System Splits'!$D$8:$D$615,$B40,'ISO w_System Splits'!I$8:I$615)-SUMIF('ISO w_System Splits'!$D$470:$D$520,$B40,'ISO w_System Splits'!I$470:I$520)</f>
        <v>98.189999999999984</v>
      </c>
      <c r="AL40" s="130"/>
      <c r="AM40" s="657">
        <v>0</v>
      </c>
      <c r="AN40" s="657">
        <v>0</v>
      </c>
      <c r="AO40" s="657">
        <v>0</v>
      </c>
      <c r="AP40" s="130"/>
      <c r="AR40">
        <f t="shared" si="19"/>
        <v>0</v>
      </c>
      <c r="AS40">
        <f t="shared" si="20"/>
        <v>0</v>
      </c>
      <c r="AT40">
        <f t="shared" si="21"/>
        <v>0</v>
      </c>
      <c r="AV40">
        <f t="shared" si="22"/>
        <v>0</v>
      </c>
      <c r="AW40">
        <f t="shared" si="23"/>
        <v>0</v>
      </c>
      <c r="AX40">
        <f t="shared" si="24"/>
        <v>0</v>
      </c>
    </row>
    <row r="41" spans="1:50" ht="15" customHeight="1" x14ac:dyDescent="0.25">
      <c r="A41" t="s">
        <v>514</v>
      </c>
      <c r="B41" s="120">
        <v>4139</v>
      </c>
      <c r="C41" s="1">
        <v>516.81000000000006</v>
      </c>
      <c r="D41" s="1">
        <v>0</v>
      </c>
      <c r="E41" s="1">
        <v>0</v>
      </c>
      <c r="F41" s="1">
        <v>0</v>
      </c>
      <c r="G41" s="1">
        <v>0</v>
      </c>
      <c r="H41" s="1">
        <v>0</v>
      </c>
      <c r="I41" s="152">
        <f t="shared" si="0"/>
        <v>516.81000000000006</v>
      </c>
      <c r="J41" s="121">
        <v>0</v>
      </c>
      <c r="K41" s="121">
        <v>0</v>
      </c>
      <c r="L41" s="121">
        <v>0</v>
      </c>
      <c r="M41" s="657">
        <f>IF('Plant Total by Account'!$H$1=1,AB41,IF('Plant Total by Account'!$H$1=2,AI41,"Input Toggle"))</f>
        <v>0</v>
      </c>
      <c r="N41" s="657">
        <f>IF('Plant Total by Account'!$H$1=1,AC41,IF('Plant Total by Account'!$H$1=2,AJ41,"Input Toggle"))</f>
        <v>0</v>
      </c>
      <c r="O41" s="657">
        <f>IF('Plant Total by Account'!$H$1=1,AD41,IF('Plant Total by Account'!$H$1=2,AK41,"Input Toggle"))</f>
        <v>0</v>
      </c>
      <c r="P41" s="660">
        <f t="shared" si="13"/>
        <v>516.81000000000006</v>
      </c>
      <c r="Q41" s="657">
        <f t="shared" si="14"/>
        <v>0</v>
      </c>
      <c r="R41" s="657">
        <f t="shared" si="15"/>
        <v>0</v>
      </c>
      <c r="S41" s="657">
        <v>0</v>
      </c>
      <c r="T41" s="657">
        <v>0</v>
      </c>
      <c r="U41" s="657">
        <v>0</v>
      </c>
      <c r="V41" s="657">
        <f>IF('Plant Total by Account'!$H$1=1,AE41,IF('Plant Total by Account'!$H$1=2,AM41,"Input Toggle"))</f>
        <v>0</v>
      </c>
      <c r="W41" s="657">
        <f>IF('Plant Total by Account'!$H$1=1,AF41,IF('Plant Total by Account'!$H$1=2,AN41,"Input Toggle"))</f>
        <v>0</v>
      </c>
      <c r="X41" s="657">
        <f>IF('Plant Total by Account'!$H$1=1,AG41,IF('Plant Total by Account'!$H$1=2,AO41,"Input Toggle"))</f>
        <v>0</v>
      </c>
      <c r="Y41" s="657">
        <f t="shared" si="16"/>
        <v>0</v>
      </c>
      <c r="Z41" s="121">
        <f t="shared" si="17"/>
        <v>0</v>
      </c>
      <c r="AA41" s="121">
        <f t="shared" si="18"/>
        <v>0</v>
      </c>
      <c r="AB41" s="657">
        <f>SUMIF('ISO w_System Splits'!$D$8:$D$469,$B41,'ISO w_System Splits'!G$8:G$469)</f>
        <v>0</v>
      </c>
      <c r="AC41" s="657">
        <f>SUMIF('ISO w_System Splits'!$D$8:$D$469,$B41,'ISO w_System Splits'!H$8:H$469)</f>
        <v>0</v>
      </c>
      <c r="AD41" s="657">
        <f>SUMIF('ISO w_System Splits'!$D$8:$D$469,$B41,'ISO w_System Splits'!I$8:I$469)</f>
        <v>0</v>
      </c>
      <c r="AE41" s="657">
        <v>0</v>
      </c>
      <c r="AF41" s="657">
        <v>0</v>
      </c>
      <c r="AG41" s="657">
        <v>0</v>
      </c>
      <c r="AH41" s="130"/>
      <c r="AI41" s="657">
        <f>SUMIF('ISO w_System Splits'!$D$8:$D$615,$B41,'ISO w_System Splits'!G$8:G$615)-SUMIF('ISO w_System Splits'!$D$470:$D$520,$B41,'ISO w_System Splits'!G$470:G$520)</f>
        <v>0</v>
      </c>
      <c r="AJ41" s="657">
        <f>SUMIF('ISO w_System Splits'!$D$8:$D$615,$B41,'ISO w_System Splits'!H$8:H$615)-SUMIF('ISO w_System Splits'!$D$470:$D$520,$B41,'ISO w_System Splits'!H$470:H$520)</f>
        <v>0</v>
      </c>
      <c r="AK41" s="657">
        <f>SUMIF('ISO w_System Splits'!$D$8:$D$615,$B41,'ISO w_System Splits'!I$8:I$615)-SUMIF('ISO w_System Splits'!$D$470:$D$520,$B41,'ISO w_System Splits'!I$470:I$520)</f>
        <v>0</v>
      </c>
      <c r="AL41" s="130"/>
      <c r="AM41" s="657">
        <v>0</v>
      </c>
      <c r="AN41" s="657">
        <v>0</v>
      </c>
      <c r="AO41" s="657">
        <v>0</v>
      </c>
      <c r="AP41" s="130"/>
      <c r="AR41">
        <f t="shared" si="19"/>
        <v>0</v>
      </c>
      <c r="AS41">
        <f t="shared" si="20"/>
        <v>0</v>
      </c>
      <c r="AT41">
        <f t="shared" si="21"/>
        <v>0</v>
      </c>
      <c r="AV41">
        <f t="shared" si="22"/>
        <v>0</v>
      </c>
      <c r="AW41">
        <f t="shared" si="23"/>
        <v>0</v>
      </c>
      <c r="AX41">
        <f t="shared" si="24"/>
        <v>0</v>
      </c>
    </row>
    <row r="42" spans="1:50" ht="15" customHeight="1" x14ac:dyDescent="0.25">
      <c r="A42" t="s">
        <v>1325</v>
      </c>
      <c r="B42" s="120">
        <v>4140</v>
      </c>
      <c r="C42" s="1">
        <v>278111.81</v>
      </c>
      <c r="D42" s="1">
        <v>0</v>
      </c>
      <c r="E42" s="1">
        <v>0</v>
      </c>
      <c r="F42" s="1">
        <v>0</v>
      </c>
      <c r="G42" s="1">
        <v>0</v>
      </c>
      <c r="H42" s="1">
        <v>0</v>
      </c>
      <c r="I42" s="152">
        <f t="shared" si="0"/>
        <v>278111.81</v>
      </c>
      <c r="J42" s="121">
        <v>0</v>
      </c>
      <c r="K42" s="121">
        <v>0</v>
      </c>
      <c r="L42" s="121">
        <v>0</v>
      </c>
      <c r="M42" s="657">
        <f>IF('Plant Total by Account'!$H$1=1,AB42,IF('Plant Total by Account'!$H$1=2,AI42,"Input Toggle"))</f>
        <v>278111.81</v>
      </c>
      <c r="N42" s="657">
        <f>IF('Plant Total by Account'!$H$1=1,AC42,IF('Plant Total by Account'!$H$1=2,AJ42,"Input Toggle"))</f>
        <v>0</v>
      </c>
      <c r="O42" s="657">
        <f>IF('Plant Total by Account'!$H$1=1,AD42,IF('Plant Total by Account'!$H$1=2,AK42,"Input Toggle"))</f>
        <v>0</v>
      </c>
      <c r="P42" s="660">
        <f t="shared" si="13"/>
        <v>0</v>
      </c>
      <c r="Q42" s="657">
        <f t="shared" si="14"/>
        <v>0</v>
      </c>
      <c r="R42" s="657">
        <f t="shared" si="15"/>
        <v>0</v>
      </c>
      <c r="S42" s="657">
        <v>0</v>
      </c>
      <c r="T42" s="657">
        <v>0</v>
      </c>
      <c r="U42" s="657">
        <v>0</v>
      </c>
      <c r="V42" s="657">
        <f>IF('Plant Total by Account'!$H$1=1,AE42,IF('Plant Total by Account'!$H$1=2,AM42,"Input Toggle"))</f>
        <v>0</v>
      </c>
      <c r="W42" s="657">
        <f>IF('Plant Total by Account'!$H$1=1,AF42,IF('Plant Total by Account'!$H$1=2,AN42,"Input Toggle"))</f>
        <v>0</v>
      </c>
      <c r="X42" s="657">
        <f>IF('Plant Total by Account'!$H$1=1,AG42,IF('Plant Total by Account'!$H$1=2,AO42,"Input Toggle"))</f>
        <v>0</v>
      </c>
      <c r="Y42" s="657">
        <f t="shared" si="16"/>
        <v>0</v>
      </c>
      <c r="Z42" s="121">
        <f t="shared" si="17"/>
        <v>0</v>
      </c>
      <c r="AA42" s="121">
        <f t="shared" si="18"/>
        <v>0</v>
      </c>
      <c r="AB42" s="657">
        <f>SUMIF('ISO w_System Splits'!$D$8:$D$469,$B42,'ISO w_System Splits'!G$8:G$469)</f>
        <v>278111.81</v>
      </c>
      <c r="AC42" s="657">
        <f>SUMIF('ISO w_System Splits'!$D$8:$D$469,$B42,'ISO w_System Splits'!H$8:H$469)</f>
        <v>0</v>
      </c>
      <c r="AD42" s="657">
        <f>SUMIF('ISO w_System Splits'!$D$8:$D$469,$B42,'ISO w_System Splits'!I$8:I$469)</f>
        <v>0</v>
      </c>
      <c r="AE42" s="657">
        <v>0</v>
      </c>
      <c r="AF42" s="657">
        <v>0</v>
      </c>
      <c r="AG42" s="657">
        <v>0</v>
      </c>
      <c r="AH42" s="130"/>
      <c r="AI42" s="657">
        <f>SUMIF('ISO w_System Splits'!$D$8:$D$615,$B42,'ISO w_System Splits'!G$8:G$615)-SUMIF('ISO w_System Splits'!$D$470:$D$520,$B42,'ISO w_System Splits'!G$470:G$520)</f>
        <v>278111.81</v>
      </c>
      <c r="AJ42" s="657">
        <f>SUMIF('ISO w_System Splits'!$D$8:$D$615,$B42,'ISO w_System Splits'!H$8:H$615)-SUMIF('ISO w_System Splits'!$D$470:$D$520,$B42,'ISO w_System Splits'!H$470:H$520)</f>
        <v>0</v>
      </c>
      <c r="AK42" s="657">
        <f>SUMIF('ISO w_System Splits'!$D$8:$D$615,$B42,'ISO w_System Splits'!I$8:I$615)-SUMIF('ISO w_System Splits'!$D$470:$D$520,$B42,'ISO w_System Splits'!I$470:I$520)</f>
        <v>0</v>
      </c>
      <c r="AL42" s="130"/>
      <c r="AM42" s="657">
        <v>0</v>
      </c>
      <c r="AN42" s="657">
        <v>0</v>
      </c>
      <c r="AO42" s="657">
        <v>0</v>
      </c>
      <c r="AP42" s="130"/>
      <c r="AR42">
        <f t="shared" si="19"/>
        <v>0</v>
      </c>
      <c r="AS42">
        <f t="shared" si="20"/>
        <v>0</v>
      </c>
      <c r="AT42">
        <f t="shared" si="21"/>
        <v>0</v>
      </c>
      <c r="AV42">
        <f t="shared" si="22"/>
        <v>0</v>
      </c>
      <c r="AW42">
        <f t="shared" si="23"/>
        <v>0</v>
      </c>
      <c r="AX42">
        <f t="shared" si="24"/>
        <v>0</v>
      </c>
    </row>
    <row r="43" spans="1:50" ht="15" customHeight="1" x14ac:dyDescent="0.25">
      <c r="A43" s="39" t="s">
        <v>1326</v>
      </c>
      <c r="B43" s="45">
        <v>4141</v>
      </c>
      <c r="C43" s="1">
        <v>76199.12</v>
      </c>
      <c r="D43" s="1">
        <v>0</v>
      </c>
      <c r="E43" s="1">
        <v>0</v>
      </c>
      <c r="F43" s="1">
        <v>0</v>
      </c>
      <c r="G43" s="1">
        <v>0</v>
      </c>
      <c r="H43" s="1">
        <v>0</v>
      </c>
      <c r="I43" s="152">
        <f t="shared" si="0"/>
        <v>76199.12</v>
      </c>
      <c r="J43" s="121">
        <v>0</v>
      </c>
      <c r="K43" s="121">
        <v>0</v>
      </c>
      <c r="L43" s="121">
        <v>0</v>
      </c>
      <c r="M43" s="657">
        <f>IF('Plant Total by Account'!$H$1=1,AB43,IF('Plant Total by Account'!$H$1=2,AI43,"Input Toggle"))</f>
        <v>76199.12</v>
      </c>
      <c r="N43" s="657">
        <f>IF('Plant Total by Account'!$H$1=1,AC43,IF('Plant Total by Account'!$H$1=2,AJ43,"Input Toggle"))</f>
        <v>0</v>
      </c>
      <c r="O43" s="657">
        <f>IF('Plant Total by Account'!$H$1=1,AD43,IF('Plant Total by Account'!$H$1=2,AK43,"Input Toggle"))</f>
        <v>0</v>
      </c>
      <c r="P43" s="660">
        <f t="shared" si="13"/>
        <v>0</v>
      </c>
      <c r="Q43" s="657">
        <f t="shared" si="14"/>
        <v>0</v>
      </c>
      <c r="R43" s="657">
        <f t="shared" si="15"/>
        <v>0</v>
      </c>
      <c r="S43" s="657">
        <v>0</v>
      </c>
      <c r="T43" s="657">
        <v>0</v>
      </c>
      <c r="U43" s="657">
        <v>0</v>
      </c>
      <c r="V43" s="657">
        <f>IF('Plant Total by Account'!$H$1=1,AE43,IF('Plant Total by Account'!$H$1=2,AM43,"Input Toggle"))</f>
        <v>0</v>
      </c>
      <c r="W43" s="657">
        <f>IF('Plant Total by Account'!$H$1=1,AF43,IF('Plant Total by Account'!$H$1=2,AN43,"Input Toggle"))</f>
        <v>0</v>
      </c>
      <c r="X43" s="657">
        <f>IF('Plant Total by Account'!$H$1=1,AG43,IF('Plant Total by Account'!$H$1=2,AO43,"Input Toggle"))</f>
        <v>0</v>
      </c>
      <c r="Y43" s="657">
        <f t="shared" si="16"/>
        <v>0</v>
      </c>
      <c r="Z43" s="121">
        <f t="shared" si="17"/>
        <v>0</v>
      </c>
      <c r="AA43" s="121">
        <f t="shared" si="18"/>
        <v>0</v>
      </c>
      <c r="AB43" s="657">
        <f>SUMIF('ISO w_System Splits'!$D$8:$D$469,$B43,'ISO w_System Splits'!G$8:G$469)</f>
        <v>76199.12</v>
      </c>
      <c r="AC43" s="657">
        <f>SUMIF('ISO w_System Splits'!$D$8:$D$469,$B43,'ISO w_System Splits'!H$8:H$469)</f>
        <v>0</v>
      </c>
      <c r="AD43" s="657">
        <f>SUMIF('ISO w_System Splits'!$D$8:$D$469,$B43,'ISO w_System Splits'!I$8:I$469)</f>
        <v>0</v>
      </c>
      <c r="AE43" s="657">
        <v>0</v>
      </c>
      <c r="AF43" s="657">
        <v>0</v>
      </c>
      <c r="AG43" s="657">
        <v>0</v>
      </c>
      <c r="AH43" s="130"/>
      <c r="AI43" s="657">
        <f>SUMIF('ISO w_System Splits'!$D$8:$D$615,$B43,'ISO w_System Splits'!G$8:G$615)-SUMIF('ISO w_System Splits'!$D$470:$D$520,$B43,'ISO w_System Splits'!G$470:G$520)</f>
        <v>76199.12</v>
      </c>
      <c r="AJ43" s="657">
        <f>SUMIF('ISO w_System Splits'!$D$8:$D$615,$B43,'ISO w_System Splits'!H$8:H$615)-SUMIF('ISO w_System Splits'!$D$470:$D$520,$B43,'ISO w_System Splits'!H$470:H$520)</f>
        <v>0</v>
      </c>
      <c r="AK43" s="657">
        <f>SUMIF('ISO w_System Splits'!$D$8:$D$615,$B43,'ISO w_System Splits'!I$8:I$615)-SUMIF('ISO w_System Splits'!$D$470:$D$520,$B43,'ISO w_System Splits'!I$470:I$520)</f>
        <v>0</v>
      </c>
      <c r="AL43" s="130"/>
      <c r="AM43" s="657">
        <v>0</v>
      </c>
      <c r="AN43" s="657">
        <v>0</v>
      </c>
      <c r="AO43" s="657">
        <v>0</v>
      </c>
      <c r="AP43" s="130"/>
      <c r="AR43">
        <f t="shared" si="19"/>
        <v>0</v>
      </c>
      <c r="AS43">
        <f t="shared" si="20"/>
        <v>0</v>
      </c>
      <c r="AT43">
        <f t="shared" si="21"/>
        <v>0</v>
      </c>
      <c r="AV43">
        <f t="shared" si="22"/>
        <v>0</v>
      </c>
      <c r="AW43">
        <f t="shared" si="23"/>
        <v>0</v>
      </c>
      <c r="AX43">
        <f t="shared" si="24"/>
        <v>0</v>
      </c>
    </row>
    <row r="44" spans="1:50" ht="15" customHeight="1" x14ac:dyDescent="0.25">
      <c r="A44" s="39" t="s">
        <v>515</v>
      </c>
      <c r="B44" s="45">
        <v>4142</v>
      </c>
      <c r="C44" s="1">
        <v>25409.4</v>
      </c>
      <c r="D44" s="1">
        <v>0</v>
      </c>
      <c r="E44" s="1">
        <v>0</v>
      </c>
      <c r="F44" s="1">
        <v>0</v>
      </c>
      <c r="G44" s="1">
        <v>0</v>
      </c>
      <c r="H44" s="1">
        <v>0</v>
      </c>
      <c r="I44" s="152">
        <f t="shared" si="0"/>
        <v>25409.4</v>
      </c>
      <c r="J44" s="121">
        <v>0</v>
      </c>
      <c r="K44" s="121">
        <v>0</v>
      </c>
      <c r="L44" s="121">
        <v>0</v>
      </c>
      <c r="M44" s="657">
        <f>IF('Plant Total by Account'!$H$1=1,AB44,IF('Plant Total by Account'!$H$1=2,AI44,"Input Toggle"))</f>
        <v>0</v>
      </c>
      <c r="N44" s="657">
        <f>IF('Plant Total by Account'!$H$1=1,AC44,IF('Plant Total by Account'!$H$1=2,AJ44,"Input Toggle"))</f>
        <v>0</v>
      </c>
      <c r="O44" s="657">
        <f>IF('Plant Total by Account'!$H$1=1,AD44,IF('Plant Total by Account'!$H$1=2,AK44,"Input Toggle"))</f>
        <v>0</v>
      </c>
      <c r="P44" s="660">
        <f t="shared" si="13"/>
        <v>25409.4</v>
      </c>
      <c r="Q44" s="657">
        <f t="shared" si="14"/>
        <v>0</v>
      </c>
      <c r="R44" s="657">
        <f t="shared" si="15"/>
        <v>0</v>
      </c>
      <c r="S44" s="657">
        <v>0</v>
      </c>
      <c r="T44" s="657">
        <v>0</v>
      </c>
      <c r="U44" s="657">
        <v>0</v>
      </c>
      <c r="V44" s="657">
        <f>IF('Plant Total by Account'!$H$1=1,AE44,IF('Plant Total by Account'!$H$1=2,AM44,"Input Toggle"))</f>
        <v>0</v>
      </c>
      <c r="W44" s="657">
        <f>IF('Plant Total by Account'!$H$1=1,AF44,IF('Plant Total by Account'!$H$1=2,AN44,"Input Toggle"))</f>
        <v>0</v>
      </c>
      <c r="X44" s="657">
        <f>IF('Plant Total by Account'!$H$1=1,AG44,IF('Plant Total by Account'!$H$1=2,AO44,"Input Toggle"))</f>
        <v>0</v>
      </c>
      <c r="Y44" s="657">
        <f t="shared" si="16"/>
        <v>0</v>
      </c>
      <c r="Z44" s="121">
        <f t="shared" si="17"/>
        <v>0</v>
      </c>
      <c r="AA44" s="121">
        <f t="shared" si="18"/>
        <v>0</v>
      </c>
      <c r="AB44" s="657">
        <f>SUMIF('ISO w_System Splits'!$D$8:$D$469,$B44,'ISO w_System Splits'!G$8:G$469)</f>
        <v>0</v>
      </c>
      <c r="AC44" s="657">
        <f>SUMIF('ISO w_System Splits'!$D$8:$D$469,$B44,'ISO w_System Splits'!H$8:H$469)</f>
        <v>0</v>
      </c>
      <c r="AD44" s="657">
        <f>SUMIF('ISO w_System Splits'!$D$8:$D$469,$B44,'ISO w_System Splits'!I$8:I$469)</f>
        <v>0</v>
      </c>
      <c r="AE44" s="657">
        <v>0</v>
      </c>
      <c r="AF44" s="657">
        <v>0</v>
      </c>
      <c r="AG44" s="657">
        <v>0</v>
      </c>
      <c r="AH44" s="130"/>
      <c r="AI44" s="657">
        <f>SUMIF('ISO w_System Splits'!$D$8:$D$615,$B44,'ISO w_System Splits'!G$8:G$615)-SUMIF('ISO w_System Splits'!$D$470:$D$520,$B44,'ISO w_System Splits'!G$470:G$520)</f>
        <v>0</v>
      </c>
      <c r="AJ44" s="657">
        <f>SUMIF('ISO w_System Splits'!$D$8:$D$615,$B44,'ISO w_System Splits'!H$8:H$615)-SUMIF('ISO w_System Splits'!$D$470:$D$520,$B44,'ISO w_System Splits'!H$470:H$520)</f>
        <v>0</v>
      </c>
      <c r="AK44" s="657">
        <f>SUMIF('ISO w_System Splits'!$D$8:$D$615,$B44,'ISO w_System Splits'!I$8:I$615)-SUMIF('ISO w_System Splits'!$D$470:$D$520,$B44,'ISO w_System Splits'!I$470:I$520)</f>
        <v>0</v>
      </c>
      <c r="AL44" s="130"/>
      <c r="AM44" s="657">
        <v>0</v>
      </c>
      <c r="AN44" s="657">
        <v>0</v>
      </c>
      <c r="AO44" s="657">
        <v>0</v>
      </c>
      <c r="AP44" s="130"/>
      <c r="AR44">
        <f t="shared" si="19"/>
        <v>0</v>
      </c>
      <c r="AS44">
        <f t="shared" si="20"/>
        <v>0</v>
      </c>
      <c r="AT44">
        <f t="shared" si="21"/>
        <v>0</v>
      </c>
      <c r="AV44">
        <f t="shared" si="22"/>
        <v>0</v>
      </c>
      <c r="AW44">
        <f t="shared" si="23"/>
        <v>0</v>
      </c>
      <c r="AX44">
        <f t="shared" si="24"/>
        <v>0</v>
      </c>
    </row>
    <row r="45" spans="1:50" ht="15" customHeight="1" x14ac:dyDescent="0.25">
      <c r="A45" t="s">
        <v>1327</v>
      </c>
      <c r="B45" s="120">
        <v>4143</v>
      </c>
      <c r="C45" s="1">
        <v>6166.88</v>
      </c>
      <c r="D45" s="1">
        <v>0</v>
      </c>
      <c r="E45" s="1">
        <v>0</v>
      </c>
      <c r="F45" s="1">
        <v>0</v>
      </c>
      <c r="G45" s="1">
        <v>0</v>
      </c>
      <c r="H45" s="1">
        <v>0</v>
      </c>
      <c r="I45" s="152">
        <f t="shared" si="0"/>
        <v>6166.88</v>
      </c>
      <c r="J45" s="121">
        <v>0</v>
      </c>
      <c r="K45" s="121">
        <v>0</v>
      </c>
      <c r="L45" s="121">
        <v>0</v>
      </c>
      <c r="M45" s="657">
        <f>IF('Plant Total by Account'!$H$1=1,AB45,IF('Plant Total by Account'!$H$1=2,AI45,"Input Toggle"))</f>
        <v>6166.88</v>
      </c>
      <c r="N45" s="657">
        <f>IF('Plant Total by Account'!$H$1=1,AC45,IF('Plant Total by Account'!$H$1=2,AJ45,"Input Toggle"))</f>
        <v>0</v>
      </c>
      <c r="O45" s="657">
        <f>IF('Plant Total by Account'!$H$1=1,AD45,IF('Plant Total by Account'!$H$1=2,AK45,"Input Toggle"))</f>
        <v>0</v>
      </c>
      <c r="P45" s="660">
        <f t="shared" si="13"/>
        <v>0</v>
      </c>
      <c r="Q45" s="657">
        <f t="shared" si="14"/>
        <v>0</v>
      </c>
      <c r="R45" s="657">
        <f t="shared" si="15"/>
        <v>0</v>
      </c>
      <c r="S45" s="657">
        <v>0</v>
      </c>
      <c r="T45" s="657">
        <v>0</v>
      </c>
      <c r="U45" s="657">
        <v>0</v>
      </c>
      <c r="V45" s="657">
        <f>IF('Plant Total by Account'!$H$1=1,AE45,IF('Plant Total by Account'!$H$1=2,AM45,"Input Toggle"))</f>
        <v>0</v>
      </c>
      <c r="W45" s="657">
        <f>IF('Plant Total by Account'!$H$1=1,AF45,IF('Plant Total by Account'!$H$1=2,AN45,"Input Toggle"))</f>
        <v>0</v>
      </c>
      <c r="X45" s="657">
        <f>IF('Plant Total by Account'!$H$1=1,AG45,IF('Plant Total by Account'!$H$1=2,AO45,"Input Toggle"))</f>
        <v>0</v>
      </c>
      <c r="Y45" s="657">
        <f t="shared" si="16"/>
        <v>0</v>
      </c>
      <c r="Z45" s="121">
        <f t="shared" si="17"/>
        <v>0</v>
      </c>
      <c r="AA45" s="121">
        <f t="shared" si="18"/>
        <v>0</v>
      </c>
      <c r="AB45" s="657">
        <f>SUMIF('ISO w_System Splits'!$D$8:$D$469,$B45,'ISO w_System Splits'!G$8:G$469)</f>
        <v>6166.88</v>
      </c>
      <c r="AC45" s="657">
        <f>SUMIF('ISO w_System Splits'!$D$8:$D$469,$B45,'ISO w_System Splits'!H$8:H$469)</f>
        <v>0</v>
      </c>
      <c r="AD45" s="657">
        <f>SUMIF('ISO w_System Splits'!$D$8:$D$469,$B45,'ISO w_System Splits'!I$8:I$469)</f>
        <v>0</v>
      </c>
      <c r="AE45" s="657">
        <v>0</v>
      </c>
      <c r="AF45" s="657">
        <v>0</v>
      </c>
      <c r="AG45" s="657">
        <v>0</v>
      </c>
      <c r="AH45" s="130"/>
      <c r="AI45" s="657">
        <f>SUMIF('ISO w_System Splits'!$D$8:$D$615,$B45,'ISO w_System Splits'!G$8:G$615)-SUMIF('ISO w_System Splits'!$D$470:$D$520,$B45,'ISO w_System Splits'!G$470:G$520)</f>
        <v>6166.88</v>
      </c>
      <c r="AJ45" s="657">
        <f>SUMIF('ISO w_System Splits'!$D$8:$D$615,$B45,'ISO w_System Splits'!H$8:H$615)-SUMIF('ISO w_System Splits'!$D$470:$D$520,$B45,'ISO w_System Splits'!H$470:H$520)</f>
        <v>0</v>
      </c>
      <c r="AK45" s="657">
        <f>SUMIF('ISO w_System Splits'!$D$8:$D$615,$B45,'ISO w_System Splits'!I$8:I$615)-SUMIF('ISO w_System Splits'!$D$470:$D$520,$B45,'ISO w_System Splits'!I$470:I$520)</f>
        <v>0</v>
      </c>
      <c r="AL45" s="130"/>
      <c r="AM45" s="657">
        <v>0</v>
      </c>
      <c r="AN45" s="657">
        <v>0</v>
      </c>
      <c r="AO45" s="657">
        <v>0</v>
      </c>
      <c r="AP45" s="130"/>
      <c r="AR45">
        <f t="shared" si="19"/>
        <v>0</v>
      </c>
      <c r="AS45">
        <f t="shared" si="20"/>
        <v>0</v>
      </c>
      <c r="AT45">
        <f t="shared" si="21"/>
        <v>0</v>
      </c>
      <c r="AV45">
        <f t="shared" si="22"/>
        <v>0</v>
      </c>
      <c r="AW45">
        <f t="shared" si="23"/>
        <v>0</v>
      </c>
      <c r="AX45">
        <f t="shared" si="24"/>
        <v>0</v>
      </c>
    </row>
    <row r="46" spans="1:50" ht="15" customHeight="1" x14ac:dyDescent="0.25">
      <c r="A46" t="s">
        <v>1328</v>
      </c>
      <c r="B46" s="120">
        <v>4144</v>
      </c>
      <c r="C46" s="1">
        <v>9993.51</v>
      </c>
      <c r="D46" s="1">
        <v>0</v>
      </c>
      <c r="E46" s="1">
        <v>0</v>
      </c>
      <c r="F46" s="1">
        <v>0</v>
      </c>
      <c r="G46" s="1">
        <v>0</v>
      </c>
      <c r="H46" s="1">
        <v>0</v>
      </c>
      <c r="I46" s="152">
        <f t="shared" si="0"/>
        <v>9993.51</v>
      </c>
      <c r="J46" s="121">
        <v>0</v>
      </c>
      <c r="K46" s="121">
        <v>0</v>
      </c>
      <c r="L46" s="121">
        <v>0</v>
      </c>
      <c r="M46" s="657">
        <f>IF('Plant Total by Account'!$H$1=1,AB46,IF('Plant Total by Account'!$H$1=2,AI46,"Input Toggle"))</f>
        <v>9993.5099999999984</v>
      </c>
      <c r="N46" s="657">
        <f>IF('Plant Total by Account'!$H$1=1,AC46,IF('Plant Total by Account'!$H$1=2,AJ46,"Input Toggle"))</f>
        <v>0</v>
      </c>
      <c r="O46" s="657">
        <f>IF('Plant Total by Account'!$H$1=1,AD46,IF('Plant Total by Account'!$H$1=2,AK46,"Input Toggle"))</f>
        <v>0</v>
      </c>
      <c r="P46" s="660">
        <f t="shared" si="13"/>
        <v>0</v>
      </c>
      <c r="Q46" s="657">
        <f t="shared" si="14"/>
        <v>0</v>
      </c>
      <c r="R46" s="657">
        <f t="shared" si="15"/>
        <v>0</v>
      </c>
      <c r="S46" s="657">
        <v>0</v>
      </c>
      <c r="T46" s="657">
        <v>0</v>
      </c>
      <c r="U46" s="657">
        <v>0</v>
      </c>
      <c r="V46" s="657">
        <f>IF('Plant Total by Account'!$H$1=1,AE46,IF('Plant Total by Account'!$H$1=2,AM46,"Input Toggle"))</f>
        <v>0</v>
      </c>
      <c r="W46" s="657">
        <f>IF('Plant Total by Account'!$H$1=1,AF46,IF('Plant Total by Account'!$H$1=2,AN46,"Input Toggle"))</f>
        <v>0</v>
      </c>
      <c r="X46" s="657">
        <f>IF('Plant Total by Account'!$H$1=1,AG46,IF('Plant Total by Account'!$H$1=2,AO46,"Input Toggle"))</f>
        <v>0</v>
      </c>
      <c r="Y46" s="657">
        <f t="shared" si="16"/>
        <v>0</v>
      </c>
      <c r="Z46" s="121">
        <f t="shared" si="17"/>
        <v>0</v>
      </c>
      <c r="AA46" s="121">
        <f t="shared" si="18"/>
        <v>0</v>
      </c>
      <c r="AB46" s="657">
        <f>SUMIF('ISO w_System Splits'!$D$8:$D$469,$B46,'ISO w_System Splits'!G$8:G$469)</f>
        <v>9993.5099999999984</v>
      </c>
      <c r="AC46" s="657">
        <f>SUMIF('ISO w_System Splits'!$D$8:$D$469,$B46,'ISO w_System Splits'!H$8:H$469)</f>
        <v>0</v>
      </c>
      <c r="AD46" s="657">
        <f>SUMIF('ISO w_System Splits'!$D$8:$D$469,$B46,'ISO w_System Splits'!I$8:I$469)</f>
        <v>0</v>
      </c>
      <c r="AE46" s="657">
        <v>0</v>
      </c>
      <c r="AF46" s="657">
        <v>0</v>
      </c>
      <c r="AG46" s="657">
        <v>0</v>
      </c>
      <c r="AH46" s="130"/>
      <c r="AI46" s="657">
        <f>SUMIF('ISO w_System Splits'!$D$8:$D$615,$B46,'ISO w_System Splits'!G$8:G$615)-SUMIF('ISO w_System Splits'!$D$470:$D$520,$B46,'ISO w_System Splits'!G$470:G$520)</f>
        <v>9993.5099999999984</v>
      </c>
      <c r="AJ46" s="657">
        <f>SUMIF('ISO w_System Splits'!$D$8:$D$615,$B46,'ISO w_System Splits'!H$8:H$615)-SUMIF('ISO w_System Splits'!$D$470:$D$520,$B46,'ISO w_System Splits'!H$470:H$520)</f>
        <v>0</v>
      </c>
      <c r="AK46" s="657">
        <f>SUMIF('ISO w_System Splits'!$D$8:$D$615,$B46,'ISO w_System Splits'!I$8:I$615)-SUMIF('ISO w_System Splits'!$D$470:$D$520,$B46,'ISO w_System Splits'!I$470:I$520)</f>
        <v>0</v>
      </c>
      <c r="AL46" s="130"/>
      <c r="AM46" s="657">
        <v>0</v>
      </c>
      <c r="AN46" s="657">
        <v>0</v>
      </c>
      <c r="AO46" s="657">
        <v>0</v>
      </c>
      <c r="AP46" s="130"/>
      <c r="AR46">
        <f t="shared" si="19"/>
        <v>0</v>
      </c>
      <c r="AS46">
        <f t="shared" si="20"/>
        <v>0</v>
      </c>
      <c r="AT46">
        <f t="shared" si="21"/>
        <v>0</v>
      </c>
      <c r="AV46">
        <f t="shared" si="22"/>
        <v>0</v>
      </c>
      <c r="AW46">
        <f t="shared" si="23"/>
        <v>0</v>
      </c>
      <c r="AX46">
        <f t="shared" si="24"/>
        <v>0</v>
      </c>
    </row>
    <row r="47" spans="1:50" ht="15" customHeight="1" x14ac:dyDescent="0.25">
      <c r="A47" t="s">
        <v>1438</v>
      </c>
      <c r="B47" s="120">
        <v>4147</v>
      </c>
      <c r="C47" s="1">
        <v>3854651.36</v>
      </c>
      <c r="D47" s="1">
        <v>0</v>
      </c>
      <c r="E47" s="1">
        <v>1880.02</v>
      </c>
      <c r="F47" s="1">
        <v>0</v>
      </c>
      <c r="G47" s="1">
        <v>0</v>
      </c>
      <c r="H47" s="1">
        <v>0</v>
      </c>
      <c r="I47" s="152">
        <f t="shared" si="0"/>
        <v>3856531.38</v>
      </c>
      <c r="J47" s="121">
        <v>0</v>
      </c>
      <c r="K47" s="121">
        <v>0</v>
      </c>
      <c r="L47" s="121">
        <v>0</v>
      </c>
      <c r="M47" s="657">
        <f>IF('Plant Total by Account'!$H$1=1,AB47,IF('Plant Total by Account'!$H$1=2,AI47,"Input Toggle"))</f>
        <v>3855187.6400000006</v>
      </c>
      <c r="N47" s="657">
        <f>IF('Plant Total by Account'!$H$1=1,AC47,IF('Plant Total by Account'!$H$1=2,AJ47,"Input Toggle"))</f>
        <v>0</v>
      </c>
      <c r="O47" s="657">
        <f>IF('Plant Total by Account'!$H$1=1,AD47,IF('Plant Total by Account'!$H$1=2,AK47,"Input Toggle"))</f>
        <v>1880.0200000000004</v>
      </c>
      <c r="P47" s="660">
        <f t="shared" si="13"/>
        <v>-536.28000000072643</v>
      </c>
      <c r="Q47" s="657">
        <f t="shared" si="14"/>
        <v>0</v>
      </c>
      <c r="R47" s="657">
        <f t="shared" si="15"/>
        <v>0</v>
      </c>
      <c r="S47" s="657">
        <v>0</v>
      </c>
      <c r="T47" s="657">
        <v>0</v>
      </c>
      <c r="U47" s="657">
        <v>0</v>
      </c>
      <c r="V47" s="657">
        <f>IF('Plant Total by Account'!$H$1=1,AE47,IF('Plant Total by Account'!$H$1=2,AM47,"Input Toggle"))</f>
        <v>0</v>
      </c>
      <c r="W47" s="657">
        <f>IF('Plant Total by Account'!$H$1=1,AF47,IF('Plant Total by Account'!$H$1=2,AN47,"Input Toggle"))</f>
        <v>0</v>
      </c>
      <c r="X47" s="657">
        <f>IF('Plant Total by Account'!$H$1=1,AG47,IF('Plant Total by Account'!$H$1=2,AO47,"Input Toggle"))</f>
        <v>0</v>
      </c>
      <c r="Y47" s="657">
        <f t="shared" si="16"/>
        <v>0</v>
      </c>
      <c r="Z47" s="121">
        <f t="shared" si="17"/>
        <v>0</v>
      </c>
      <c r="AA47" s="121">
        <f t="shared" si="18"/>
        <v>0</v>
      </c>
      <c r="AB47" s="657">
        <f>SUMIF('ISO w_System Splits'!$D$8:$D$469,$B47,'ISO w_System Splits'!G$8:G$469)</f>
        <v>3855187.6400000006</v>
      </c>
      <c r="AC47" s="657">
        <f>SUMIF('ISO w_System Splits'!$D$8:$D$469,$B47,'ISO w_System Splits'!H$8:H$469)</f>
        <v>0</v>
      </c>
      <c r="AD47" s="657">
        <f>SUMIF('ISO w_System Splits'!$D$8:$D$469,$B47,'ISO w_System Splits'!I$8:I$469)</f>
        <v>1880.0200000000004</v>
      </c>
      <c r="AE47" s="657">
        <v>0</v>
      </c>
      <c r="AF47" s="657">
        <v>0</v>
      </c>
      <c r="AG47" s="657">
        <v>0</v>
      </c>
      <c r="AH47" s="130"/>
      <c r="AI47" s="657">
        <f>SUMIF('ISO w_System Splits'!$D$8:$D$615,$B47,'ISO w_System Splits'!G$8:G$615)-SUMIF('ISO w_System Splits'!$D$470:$D$520,$B47,'ISO w_System Splits'!G$470:G$520)</f>
        <v>3855187.6400000006</v>
      </c>
      <c r="AJ47" s="657">
        <f>SUMIF('ISO w_System Splits'!$D$8:$D$615,$B47,'ISO w_System Splits'!H$8:H$615)-SUMIF('ISO w_System Splits'!$D$470:$D$520,$B47,'ISO w_System Splits'!H$470:H$520)</f>
        <v>0</v>
      </c>
      <c r="AK47" s="657">
        <f>SUMIF('ISO w_System Splits'!$D$8:$D$615,$B47,'ISO w_System Splits'!I$8:I$615)-SUMIF('ISO w_System Splits'!$D$470:$D$520,$B47,'ISO w_System Splits'!I$470:I$520)</f>
        <v>1880.0200000000004</v>
      </c>
      <c r="AL47" s="130"/>
      <c r="AM47" s="657">
        <v>0</v>
      </c>
      <c r="AN47" s="657">
        <v>0</v>
      </c>
      <c r="AO47" s="657">
        <v>0</v>
      </c>
      <c r="AP47" s="130"/>
      <c r="AR47">
        <f t="shared" si="19"/>
        <v>0</v>
      </c>
      <c r="AS47">
        <f t="shared" si="20"/>
        <v>0</v>
      </c>
      <c r="AT47">
        <f t="shared" si="21"/>
        <v>0</v>
      </c>
      <c r="AV47">
        <f t="shared" si="22"/>
        <v>0</v>
      </c>
      <c r="AW47">
        <f t="shared" si="23"/>
        <v>0</v>
      </c>
      <c r="AX47">
        <f t="shared" si="24"/>
        <v>0</v>
      </c>
    </row>
    <row r="48" spans="1:50" ht="15" customHeight="1" x14ac:dyDescent="0.25">
      <c r="A48" t="s">
        <v>516</v>
      </c>
      <c r="B48" s="120">
        <v>4148</v>
      </c>
      <c r="C48" s="1">
        <v>1696736.1199999999</v>
      </c>
      <c r="D48" s="1">
        <v>0</v>
      </c>
      <c r="E48" s="1">
        <v>0</v>
      </c>
      <c r="F48" s="1">
        <v>0</v>
      </c>
      <c r="G48" s="1">
        <v>0</v>
      </c>
      <c r="H48" s="1">
        <v>0</v>
      </c>
      <c r="I48" s="152">
        <f t="shared" si="0"/>
        <v>1696736.1199999999</v>
      </c>
      <c r="J48" s="121">
        <v>0</v>
      </c>
      <c r="K48" s="121">
        <v>0</v>
      </c>
      <c r="L48" s="121">
        <v>0</v>
      </c>
      <c r="M48" s="657">
        <f>IF('Plant Total by Account'!$H$1=1,AB48,IF('Plant Total by Account'!$H$1=2,AI48,"Input Toggle"))</f>
        <v>1696736.1200000003</v>
      </c>
      <c r="N48" s="657">
        <f>IF('Plant Total by Account'!$H$1=1,AC48,IF('Plant Total by Account'!$H$1=2,AJ48,"Input Toggle"))</f>
        <v>0</v>
      </c>
      <c r="O48" s="657">
        <f>IF('Plant Total by Account'!$H$1=1,AD48,IF('Plant Total by Account'!$H$1=2,AK48,"Input Toggle"))</f>
        <v>0</v>
      </c>
      <c r="P48" s="660">
        <f t="shared" si="13"/>
        <v>0</v>
      </c>
      <c r="Q48" s="657">
        <f t="shared" si="14"/>
        <v>0</v>
      </c>
      <c r="R48" s="657">
        <f t="shared" si="15"/>
        <v>0</v>
      </c>
      <c r="S48" s="657">
        <v>0</v>
      </c>
      <c r="T48" s="657">
        <v>0</v>
      </c>
      <c r="U48" s="657">
        <v>0</v>
      </c>
      <c r="V48" s="657">
        <f>IF('Plant Total by Account'!$H$1=1,AE48,IF('Plant Total by Account'!$H$1=2,AM48,"Input Toggle"))</f>
        <v>0</v>
      </c>
      <c r="W48" s="657">
        <f>IF('Plant Total by Account'!$H$1=1,AF48,IF('Plant Total by Account'!$H$1=2,AN48,"Input Toggle"))</f>
        <v>0</v>
      </c>
      <c r="X48" s="657">
        <f>IF('Plant Total by Account'!$H$1=1,AG48,IF('Plant Total by Account'!$H$1=2,AO48,"Input Toggle"))</f>
        <v>0</v>
      </c>
      <c r="Y48" s="657">
        <f t="shared" si="16"/>
        <v>0</v>
      </c>
      <c r="Z48" s="121">
        <f t="shared" si="17"/>
        <v>0</v>
      </c>
      <c r="AA48" s="121">
        <f t="shared" si="18"/>
        <v>0</v>
      </c>
      <c r="AB48" s="657">
        <f>SUMIF('ISO w_System Splits'!$D$8:$D$469,$B48,'ISO w_System Splits'!G$8:G$469)</f>
        <v>1696736.1200000003</v>
      </c>
      <c r="AC48" s="657">
        <f>SUMIF('ISO w_System Splits'!$D$8:$D$469,$B48,'ISO w_System Splits'!H$8:H$469)</f>
        <v>0</v>
      </c>
      <c r="AD48" s="657">
        <f>SUMIF('ISO w_System Splits'!$D$8:$D$469,$B48,'ISO w_System Splits'!I$8:I$469)</f>
        <v>0</v>
      </c>
      <c r="AE48" s="657">
        <v>0</v>
      </c>
      <c r="AF48" s="657">
        <v>0</v>
      </c>
      <c r="AG48" s="657">
        <v>0</v>
      </c>
      <c r="AH48" s="130"/>
      <c r="AI48" s="657">
        <f>SUMIF('ISO w_System Splits'!$D$8:$D$615,$B48,'ISO w_System Splits'!G$8:G$615)-SUMIF('ISO w_System Splits'!$D$470:$D$520,$B48,'ISO w_System Splits'!G$470:G$520)</f>
        <v>1696736.1200000003</v>
      </c>
      <c r="AJ48" s="657">
        <f>SUMIF('ISO w_System Splits'!$D$8:$D$615,$B48,'ISO w_System Splits'!H$8:H$615)-SUMIF('ISO w_System Splits'!$D$470:$D$520,$B48,'ISO w_System Splits'!H$470:H$520)</f>
        <v>0</v>
      </c>
      <c r="AK48" s="657">
        <f>SUMIF('ISO w_System Splits'!$D$8:$D$615,$B48,'ISO w_System Splits'!I$8:I$615)-SUMIF('ISO w_System Splits'!$D$470:$D$520,$B48,'ISO w_System Splits'!I$470:I$520)</f>
        <v>0</v>
      </c>
      <c r="AL48" s="130"/>
      <c r="AM48" s="657">
        <v>0</v>
      </c>
      <c r="AN48" s="657">
        <v>0</v>
      </c>
      <c r="AO48" s="657">
        <v>0</v>
      </c>
      <c r="AP48" s="130"/>
      <c r="AR48">
        <f t="shared" si="19"/>
        <v>0</v>
      </c>
      <c r="AS48">
        <f t="shared" si="20"/>
        <v>0</v>
      </c>
      <c r="AT48">
        <f t="shared" si="21"/>
        <v>0</v>
      </c>
      <c r="AV48">
        <f t="shared" si="22"/>
        <v>0</v>
      </c>
      <c r="AW48">
        <f t="shared" si="23"/>
        <v>0</v>
      </c>
      <c r="AX48">
        <f t="shared" si="24"/>
        <v>0</v>
      </c>
    </row>
    <row r="49" spans="1:50" ht="15" customHeight="1" x14ac:dyDescent="0.25">
      <c r="A49" t="s">
        <v>517</v>
      </c>
      <c r="B49" s="120">
        <v>4149</v>
      </c>
      <c r="C49" s="1">
        <v>232</v>
      </c>
      <c r="D49" s="1">
        <v>0</v>
      </c>
      <c r="E49" s="1">
        <v>0</v>
      </c>
      <c r="F49" s="1">
        <v>0</v>
      </c>
      <c r="G49" s="1">
        <v>0</v>
      </c>
      <c r="H49" s="1">
        <v>0</v>
      </c>
      <c r="I49" s="152">
        <f t="shared" si="0"/>
        <v>232</v>
      </c>
      <c r="J49" s="121">
        <v>0</v>
      </c>
      <c r="K49" s="121">
        <v>0</v>
      </c>
      <c r="L49" s="121">
        <v>0</v>
      </c>
      <c r="M49" s="657">
        <f>IF('Plant Total by Account'!$H$1=1,AB49,IF('Plant Total by Account'!$H$1=2,AI49,"Input Toggle"))</f>
        <v>0</v>
      </c>
      <c r="N49" s="657">
        <f>IF('Plant Total by Account'!$H$1=1,AC49,IF('Plant Total by Account'!$H$1=2,AJ49,"Input Toggle"))</f>
        <v>0</v>
      </c>
      <c r="O49" s="657">
        <f>IF('Plant Total by Account'!$H$1=1,AD49,IF('Plant Total by Account'!$H$1=2,AK49,"Input Toggle"))</f>
        <v>0</v>
      </c>
      <c r="P49" s="660">
        <f t="shared" si="13"/>
        <v>232</v>
      </c>
      <c r="Q49" s="657">
        <f t="shared" si="14"/>
        <v>0</v>
      </c>
      <c r="R49" s="657">
        <f t="shared" si="15"/>
        <v>0</v>
      </c>
      <c r="S49" s="657">
        <v>0</v>
      </c>
      <c r="T49" s="657">
        <v>0</v>
      </c>
      <c r="U49" s="657">
        <v>0</v>
      </c>
      <c r="V49" s="657">
        <f>IF('Plant Total by Account'!$H$1=1,AE49,IF('Plant Total by Account'!$H$1=2,AM49,"Input Toggle"))</f>
        <v>0</v>
      </c>
      <c r="W49" s="657">
        <f>IF('Plant Total by Account'!$H$1=1,AF49,IF('Plant Total by Account'!$H$1=2,AN49,"Input Toggle"))</f>
        <v>0</v>
      </c>
      <c r="X49" s="657">
        <f>IF('Plant Total by Account'!$H$1=1,AG49,IF('Plant Total by Account'!$H$1=2,AO49,"Input Toggle"))</f>
        <v>0</v>
      </c>
      <c r="Y49" s="657">
        <f t="shared" si="16"/>
        <v>0</v>
      </c>
      <c r="Z49" s="121">
        <f t="shared" si="17"/>
        <v>0</v>
      </c>
      <c r="AA49" s="121">
        <f t="shared" si="18"/>
        <v>0</v>
      </c>
      <c r="AB49" s="657">
        <f>SUMIF('ISO w_System Splits'!$D$8:$D$469,$B49,'ISO w_System Splits'!G$8:G$469)</f>
        <v>0</v>
      </c>
      <c r="AC49" s="657">
        <f>SUMIF('ISO w_System Splits'!$D$8:$D$469,$B49,'ISO w_System Splits'!H$8:H$469)</f>
        <v>0</v>
      </c>
      <c r="AD49" s="657">
        <f>SUMIF('ISO w_System Splits'!$D$8:$D$469,$B49,'ISO w_System Splits'!I$8:I$469)</f>
        <v>0</v>
      </c>
      <c r="AE49" s="657">
        <v>0</v>
      </c>
      <c r="AF49" s="657">
        <v>0</v>
      </c>
      <c r="AG49" s="657">
        <v>0</v>
      </c>
      <c r="AH49" s="130"/>
      <c r="AI49" s="657">
        <f>SUMIF('ISO w_System Splits'!$D$8:$D$615,$B49,'ISO w_System Splits'!G$8:G$615)-SUMIF('ISO w_System Splits'!$D$470:$D$520,$B49,'ISO w_System Splits'!G$470:G$520)</f>
        <v>0</v>
      </c>
      <c r="AJ49" s="657">
        <f>SUMIF('ISO w_System Splits'!$D$8:$D$615,$B49,'ISO w_System Splits'!H$8:H$615)-SUMIF('ISO w_System Splits'!$D$470:$D$520,$B49,'ISO w_System Splits'!H$470:H$520)</f>
        <v>0</v>
      </c>
      <c r="AK49" s="657">
        <f>SUMIF('ISO w_System Splits'!$D$8:$D$615,$B49,'ISO w_System Splits'!I$8:I$615)-SUMIF('ISO w_System Splits'!$D$470:$D$520,$B49,'ISO w_System Splits'!I$470:I$520)</f>
        <v>0</v>
      </c>
      <c r="AL49" s="130"/>
      <c r="AM49" s="657">
        <v>0</v>
      </c>
      <c r="AN49" s="657">
        <v>0</v>
      </c>
      <c r="AO49" s="657">
        <v>0</v>
      </c>
      <c r="AP49" s="130"/>
      <c r="AR49">
        <f t="shared" si="19"/>
        <v>0</v>
      </c>
      <c r="AS49">
        <f t="shared" si="20"/>
        <v>0</v>
      </c>
      <c r="AT49">
        <f t="shared" si="21"/>
        <v>0</v>
      </c>
      <c r="AV49">
        <f t="shared" si="22"/>
        <v>0</v>
      </c>
      <c r="AW49">
        <f t="shared" si="23"/>
        <v>0</v>
      </c>
      <c r="AX49">
        <f t="shared" si="24"/>
        <v>0</v>
      </c>
    </row>
    <row r="50" spans="1:50" ht="15" customHeight="1" x14ac:dyDescent="0.25">
      <c r="A50" t="s">
        <v>518</v>
      </c>
      <c r="B50" s="120">
        <v>4153</v>
      </c>
      <c r="C50" s="1">
        <v>309032.19</v>
      </c>
      <c r="D50" s="1">
        <v>0</v>
      </c>
      <c r="E50" s="1">
        <v>0</v>
      </c>
      <c r="F50" s="1">
        <v>0</v>
      </c>
      <c r="G50" s="1">
        <v>0</v>
      </c>
      <c r="H50" s="1">
        <v>0</v>
      </c>
      <c r="I50" s="152">
        <f t="shared" si="0"/>
        <v>309032.19</v>
      </c>
      <c r="J50" s="121">
        <v>0</v>
      </c>
      <c r="K50" s="121">
        <v>0</v>
      </c>
      <c r="L50" s="121">
        <v>0</v>
      </c>
      <c r="M50" s="657">
        <f>IF('Plant Total by Account'!$H$1=1,AB50,IF('Plant Total by Account'!$H$1=2,AI50,"Input Toggle"))</f>
        <v>0</v>
      </c>
      <c r="N50" s="657">
        <f>IF('Plant Total by Account'!$H$1=1,AC50,IF('Plant Total by Account'!$H$1=2,AJ50,"Input Toggle"))</f>
        <v>0</v>
      </c>
      <c r="O50" s="657">
        <f>IF('Plant Total by Account'!$H$1=1,AD50,IF('Plant Total by Account'!$H$1=2,AK50,"Input Toggle"))</f>
        <v>0</v>
      </c>
      <c r="P50" s="660">
        <f t="shared" si="13"/>
        <v>309032.19</v>
      </c>
      <c r="Q50" s="657">
        <f t="shared" si="14"/>
        <v>0</v>
      </c>
      <c r="R50" s="657">
        <f t="shared" si="15"/>
        <v>0</v>
      </c>
      <c r="S50" s="657">
        <v>0</v>
      </c>
      <c r="T50" s="657">
        <v>0</v>
      </c>
      <c r="U50" s="657">
        <v>0</v>
      </c>
      <c r="V50" s="657">
        <f>IF('Plant Total by Account'!$H$1=1,AE50,IF('Plant Total by Account'!$H$1=2,AM50,"Input Toggle"))</f>
        <v>0</v>
      </c>
      <c r="W50" s="657">
        <f>IF('Plant Total by Account'!$H$1=1,AF50,IF('Plant Total by Account'!$H$1=2,AN50,"Input Toggle"))</f>
        <v>0</v>
      </c>
      <c r="X50" s="657">
        <f>IF('Plant Total by Account'!$H$1=1,AG50,IF('Plant Total by Account'!$H$1=2,AO50,"Input Toggle"))</f>
        <v>0</v>
      </c>
      <c r="Y50" s="657">
        <f t="shared" si="16"/>
        <v>0</v>
      </c>
      <c r="Z50" s="121">
        <f t="shared" si="17"/>
        <v>0</v>
      </c>
      <c r="AA50" s="121">
        <f t="shared" si="18"/>
        <v>0</v>
      </c>
      <c r="AB50" s="657">
        <f>SUMIF('ISO w_System Splits'!$D$8:$D$469,$B50,'ISO w_System Splits'!G$8:G$469)</f>
        <v>0</v>
      </c>
      <c r="AC50" s="657">
        <f>SUMIF('ISO w_System Splits'!$D$8:$D$469,$B50,'ISO w_System Splits'!H$8:H$469)</f>
        <v>0</v>
      </c>
      <c r="AD50" s="657">
        <f>SUMIF('ISO w_System Splits'!$D$8:$D$469,$B50,'ISO w_System Splits'!I$8:I$469)</f>
        <v>0</v>
      </c>
      <c r="AE50" s="657">
        <v>0</v>
      </c>
      <c r="AF50" s="657">
        <v>0</v>
      </c>
      <c r="AG50" s="657">
        <v>0</v>
      </c>
      <c r="AH50" s="130"/>
      <c r="AI50" s="657">
        <f>SUMIF('ISO w_System Splits'!$D$8:$D$615,$B50,'ISO w_System Splits'!G$8:G$615)-SUMIF('ISO w_System Splits'!$D$470:$D$520,$B50,'ISO w_System Splits'!G$470:G$520)</f>
        <v>0</v>
      </c>
      <c r="AJ50" s="657">
        <f>SUMIF('ISO w_System Splits'!$D$8:$D$615,$B50,'ISO w_System Splits'!H$8:H$615)-SUMIF('ISO w_System Splits'!$D$470:$D$520,$B50,'ISO w_System Splits'!H$470:H$520)</f>
        <v>0</v>
      </c>
      <c r="AK50" s="657">
        <f>SUMIF('ISO w_System Splits'!$D$8:$D$615,$B50,'ISO w_System Splits'!I$8:I$615)-SUMIF('ISO w_System Splits'!$D$470:$D$520,$B50,'ISO w_System Splits'!I$470:I$520)</f>
        <v>0</v>
      </c>
      <c r="AL50" s="130"/>
      <c r="AM50" s="657">
        <v>0</v>
      </c>
      <c r="AN50" s="657">
        <v>0</v>
      </c>
      <c r="AO50" s="657">
        <v>0</v>
      </c>
      <c r="AP50" s="130"/>
      <c r="AR50">
        <f t="shared" si="19"/>
        <v>0</v>
      </c>
      <c r="AS50">
        <f t="shared" si="20"/>
        <v>0</v>
      </c>
      <c r="AT50">
        <f t="shared" si="21"/>
        <v>0</v>
      </c>
      <c r="AV50">
        <f t="shared" si="22"/>
        <v>0</v>
      </c>
      <c r="AW50">
        <f t="shared" si="23"/>
        <v>0</v>
      </c>
      <c r="AX50">
        <f t="shared" si="24"/>
        <v>0</v>
      </c>
    </row>
    <row r="51" spans="1:50" ht="15" customHeight="1" x14ac:dyDescent="0.25">
      <c r="A51" t="s">
        <v>1329</v>
      </c>
      <c r="B51" s="120">
        <v>4154</v>
      </c>
      <c r="C51" s="1">
        <v>751548.67</v>
      </c>
      <c r="D51" s="1">
        <v>0</v>
      </c>
      <c r="E51" s="1">
        <v>0</v>
      </c>
      <c r="F51" s="1">
        <v>0</v>
      </c>
      <c r="G51" s="1">
        <v>0</v>
      </c>
      <c r="H51" s="1">
        <v>0</v>
      </c>
      <c r="I51" s="152">
        <f t="shared" si="0"/>
        <v>751548.67</v>
      </c>
      <c r="J51" s="121">
        <v>0</v>
      </c>
      <c r="K51" s="121">
        <v>0</v>
      </c>
      <c r="L51" s="121">
        <v>0</v>
      </c>
      <c r="M51" s="657">
        <f>IF('Plant Total by Account'!$H$1=1,AB51,IF('Plant Total by Account'!$H$1=2,AI51,"Input Toggle"))</f>
        <v>751548.67</v>
      </c>
      <c r="N51" s="657">
        <f>IF('Plant Total by Account'!$H$1=1,AC51,IF('Plant Total by Account'!$H$1=2,AJ51,"Input Toggle"))</f>
        <v>0</v>
      </c>
      <c r="O51" s="657">
        <f>IF('Plant Total by Account'!$H$1=1,AD51,IF('Plant Total by Account'!$H$1=2,AK51,"Input Toggle"))</f>
        <v>0</v>
      </c>
      <c r="P51" s="660">
        <f t="shared" si="13"/>
        <v>0</v>
      </c>
      <c r="Q51" s="657">
        <f t="shared" si="14"/>
        <v>0</v>
      </c>
      <c r="R51" s="657">
        <f t="shared" si="15"/>
        <v>0</v>
      </c>
      <c r="S51" s="657">
        <v>0</v>
      </c>
      <c r="T51" s="657">
        <v>0</v>
      </c>
      <c r="U51" s="657">
        <v>0</v>
      </c>
      <c r="V51" s="657">
        <f>IF('Plant Total by Account'!$H$1=1,AE51,IF('Plant Total by Account'!$H$1=2,AM51,"Input Toggle"))</f>
        <v>0</v>
      </c>
      <c r="W51" s="657">
        <f>IF('Plant Total by Account'!$H$1=1,AF51,IF('Plant Total by Account'!$H$1=2,AN51,"Input Toggle"))</f>
        <v>0</v>
      </c>
      <c r="X51" s="657">
        <f>IF('Plant Total by Account'!$H$1=1,AG51,IF('Plant Total by Account'!$H$1=2,AO51,"Input Toggle"))</f>
        <v>0</v>
      </c>
      <c r="Y51" s="657">
        <f t="shared" si="16"/>
        <v>0</v>
      </c>
      <c r="Z51" s="121">
        <f t="shared" si="17"/>
        <v>0</v>
      </c>
      <c r="AA51" s="121">
        <f t="shared" si="18"/>
        <v>0</v>
      </c>
      <c r="AB51" s="657">
        <f>SUMIF('ISO w_System Splits'!$D$8:$D$469,$B51,'ISO w_System Splits'!G$8:G$469)</f>
        <v>751548.67</v>
      </c>
      <c r="AC51" s="657">
        <f>SUMIF('ISO w_System Splits'!$D$8:$D$469,$B51,'ISO w_System Splits'!H$8:H$469)</f>
        <v>0</v>
      </c>
      <c r="AD51" s="657">
        <f>SUMIF('ISO w_System Splits'!$D$8:$D$469,$B51,'ISO w_System Splits'!I$8:I$469)</f>
        <v>0</v>
      </c>
      <c r="AE51" s="657">
        <v>0</v>
      </c>
      <c r="AF51" s="657">
        <v>0</v>
      </c>
      <c r="AG51" s="657">
        <v>0</v>
      </c>
      <c r="AH51" s="130"/>
      <c r="AI51" s="657">
        <f>SUMIF('ISO w_System Splits'!$D$8:$D$615,$B51,'ISO w_System Splits'!G$8:G$615)-SUMIF('ISO w_System Splits'!$D$470:$D$520,$B51,'ISO w_System Splits'!G$470:G$520)</f>
        <v>751548.67</v>
      </c>
      <c r="AJ51" s="657">
        <f>SUMIF('ISO w_System Splits'!$D$8:$D$615,$B51,'ISO w_System Splits'!H$8:H$615)-SUMIF('ISO w_System Splits'!$D$470:$D$520,$B51,'ISO w_System Splits'!H$470:H$520)</f>
        <v>0</v>
      </c>
      <c r="AK51" s="657">
        <f>SUMIF('ISO w_System Splits'!$D$8:$D$615,$B51,'ISO w_System Splits'!I$8:I$615)-SUMIF('ISO w_System Splits'!$D$470:$D$520,$B51,'ISO w_System Splits'!I$470:I$520)</f>
        <v>0</v>
      </c>
      <c r="AL51" s="130"/>
      <c r="AM51" s="657">
        <v>0</v>
      </c>
      <c r="AN51" s="657">
        <v>0</v>
      </c>
      <c r="AO51" s="657">
        <v>0</v>
      </c>
      <c r="AP51" s="130"/>
      <c r="AR51">
        <f t="shared" si="19"/>
        <v>0</v>
      </c>
      <c r="AS51">
        <f t="shared" si="20"/>
        <v>0</v>
      </c>
      <c r="AT51">
        <f t="shared" si="21"/>
        <v>0</v>
      </c>
      <c r="AV51">
        <f t="shared" si="22"/>
        <v>0</v>
      </c>
      <c r="AW51">
        <f t="shared" si="23"/>
        <v>0</v>
      </c>
      <c r="AX51">
        <f t="shared" si="24"/>
        <v>0</v>
      </c>
    </row>
    <row r="52" spans="1:50" ht="15" customHeight="1" x14ac:dyDescent="0.25">
      <c r="A52" t="s">
        <v>1330</v>
      </c>
      <c r="B52" s="120">
        <v>4155</v>
      </c>
      <c r="C52" s="1">
        <v>2956983.22</v>
      </c>
      <c r="D52" s="1">
        <v>0</v>
      </c>
      <c r="E52" s="1">
        <v>0</v>
      </c>
      <c r="F52" s="1">
        <v>0</v>
      </c>
      <c r="G52" s="1">
        <v>0</v>
      </c>
      <c r="H52" s="1">
        <v>0</v>
      </c>
      <c r="I52" s="152">
        <f t="shared" si="0"/>
        <v>2956983.22</v>
      </c>
      <c r="J52" s="121">
        <v>0</v>
      </c>
      <c r="K52" s="121">
        <v>0</v>
      </c>
      <c r="L52" s="121">
        <v>0</v>
      </c>
      <c r="M52" s="657">
        <f>IF('Plant Total by Account'!$H$1=1,AB52,IF('Plant Total by Account'!$H$1=2,AI52,"Input Toggle"))</f>
        <v>2956983.2199999997</v>
      </c>
      <c r="N52" s="657">
        <f>IF('Plant Total by Account'!$H$1=1,AC52,IF('Plant Total by Account'!$H$1=2,AJ52,"Input Toggle"))</f>
        <v>0</v>
      </c>
      <c r="O52" s="657">
        <f>IF('Plant Total by Account'!$H$1=1,AD52,IF('Plant Total by Account'!$H$1=2,AK52,"Input Toggle"))</f>
        <v>0</v>
      </c>
      <c r="P52" s="660">
        <f t="shared" si="13"/>
        <v>0</v>
      </c>
      <c r="Q52" s="657">
        <f t="shared" si="14"/>
        <v>0</v>
      </c>
      <c r="R52" s="657">
        <f t="shared" si="15"/>
        <v>0</v>
      </c>
      <c r="S52" s="657">
        <v>0</v>
      </c>
      <c r="T52" s="657">
        <v>0</v>
      </c>
      <c r="U52" s="657">
        <v>0</v>
      </c>
      <c r="V52" s="657">
        <f>IF('Plant Total by Account'!$H$1=1,AE52,IF('Plant Total by Account'!$H$1=2,AM52,"Input Toggle"))</f>
        <v>0</v>
      </c>
      <c r="W52" s="657">
        <f>IF('Plant Total by Account'!$H$1=1,AF52,IF('Plant Total by Account'!$H$1=2,AN52,"Input Toggle"))</f>
        <v>0</v>
      </c>
      <c r="X52" s="657">
        <f>IF('Plant Total by Account'!$H$1=1,AG52,IF('Plant Total by Account'!$H$1=2,AO52,"Input Toggle"))</f>
        <v>0</v>
      </c>
      <c r="Y52" s="657">
        <f t="shared" si="16"/>
        <v>0</v>
      </c>
      <c r="Z52" s="121">
        <f t="shared" si="17"/>
        <v>0</v>
      </c>
      <c r="AA52" s="121">
        <f t="shared" si="18"/>
        <v>0</v>
      </c>
      <c r="AB52" s="657">
        <f>SUMIF('ISO w_System Splits'!$D$8:$D$469,$B52,'ISO w_System Splits'!G$8:G$469)</f>
        <v>2956983.2199999997</v>
      </c>
      <c r="AC52" s="657">
        <f>SUMIF('ISO w_System Splits'!$D$8:$D$469,$B52,'ISO w_System Splits'!H$8:H$469)</f>
        <v>0</v>
      </c>
      <c r="AD52" s="657">
        <f>SUMIF('ISO w_System Splits'!$D$8:$D$469,$B52,'ISO w_System Splits'!I$8:I$469)</f>
        <v>0</v>
      </c>
      <c r="AE52" s="657">
        <v>0</v>
      </c>
      <c r="AF52" s="657">
        <v>0</v>
      </c>
      <c r="AG52" s="657">
        <v>0</v>
      </c>
      <c r="AH52" s="130"/>
      <c r="AI52" s="657">
        <f>SUMIF('ISO w_System Splits'!$D$8:$D$615,$B52,'ISO w_System Splits'!G$8:G$615)-SUMIF('ISO w_System Splits'!$D$470:$D$520,$B52,'ISO w_System Splits'!G$470:G$520)</f>
        <v>2956983.2199999997</v>
      </c>
      <c r="AJ52" s="657">
        <f>SUMIF('ISO w_System Splits'!$D$8:$D$615,$B52,'ISO w_System Splits'!H$8:H$615)-SUMIF('ISO w_System Splits'!$D$470:$D$520,$B52,'ISO w_System Splits'!H$470:H$520)</f>
        <v>0</v>
      </c>
      <c r="AK52" s="657">
        <f>SUMIF('ISO w_System Splits'!$D$8:$D$615,$B52,'ISO w_System Splits'!I$8:I$615)-SUMIF('ISO w_System Splits'!$D$470:$D$520,$B52,'ISO w_System Splits'!I$470:I$520)</f>
        <v>0</v>
      </c>
      <c r="AL52" s="130"/>
      <c r="AM52" s="657">
        <v>0</v>
      </c>
      <c r="AN52" s="657">
        <v>0</v>
      </c>
      <c r="AO52" s="657">
        <v>0</v>
      </c>
      <c r="AP52" s="130"/>
      <c r="AR52">
        <f t="shared" si="19"/>
        <v>0</v>
      </c>
      <c r="AS52">
        <f t="shared" si="20"/>
        <v>0</v>
      </c>
      <c r="AT52">
        <f t="shared" si="21"/>
        <v>0</v>
      </c>
      <c r="AV52">
        <f t="shared" si="22"/>
        <v>0</v>
      </c>
      <c r="AW52">
        <f t="shared" si="23"/>
        <v>0</v>
      </c>
      <c r="AX52">
        <f t="shared" si="24"/>
        <v>0</v>
      </c>
    </row>
    <row r="53" spans="1:50" ht="15" customHeight="1" x14ac:dyDescent="0.25">
      <c r="A53" t="s">
        <v>1331</v>
      </c>
      <c r="B53" s="120">
        <v>4156</v>
      </c>
      <c r="C53" s="1">
        <v>12019807.719999999</v>
      </c>
      <c r="D53" s="1">
        <v>0</v>
      </c>
      <c r="E53" s="1">
        <v>0</v>
      </c>
      <c r="F53" s="1">
        <v>0</v>
      </c>
      <c r="G53" s="1">
        <v>0</v>
      </c>
      <c r="H53" s="1">
        <v>0</v>
      </c>
      <c r="I53" s="152">
        <f t="shared" si="0"/>
        <v>12019807.719999999</v>
      </c>
      <c r="J53" s="121">
        <v>0</v>
      </c>
      <c r="K53" s="121">
        <v>0</v>
      </c>
      <c r="L53" s="121">
        <v>0</v>
      </c>
      <c r="M53" s="657">
        <f>IF('Plant Total by Account'!$H$1=1,AB53,IF('Plant Total by Account'!$H$1=2,AI53,"Input Toggle"))</f>
        <v>12025290.050000001</v>
      </c>
      <c r="N53" s="657">
        <f>IF('Plant Total by Account'!$H$1=1,AC53,IF('Plant Total by Account'!$H$1=2,AJ53,"Input Toggle"))</f>
        <v>0</v>
      </c>
      <c r="O53" s="657">
        <f>IF('Plant Total by Account'!$H$1=1,AD53,IF('Plant Total by Account'!$H$1=2,AK53,"Input Toggle"))</f>
        <v>0</v>
      </c>
      <c r="P53" s="660">
        <f t="shared" si="13"/>
        <v>-5482.3300000019372</v>
      </c>
      <c r="Q53" s="657">
        <f t="shared" si="14"/>
        <v>0</v>
      </c>
      <c r="R53" s="657">
        <f t="shared" si="15"/>
        <v>0</v>
      </c>
      <c r="S53" s="657">
        <v>0</v>
      </c>
      <c r="T53" s="657">
        <v>0</v>
      </c>
      <c r="U53" s="657">
        <v>0</v>
      </c>
      <c r="V53" s="657">
        <f>IF('Plant Total by Account'!$H$1=1,AE53,IF('Plant Total by Account'!$H$1=2,AM53,"Input Toggle"))</f>
        <v>0</v>
      </c>
      <c r="W53" s="657">
        <f>IF('Plant Total by Account'!$H$1=1,AF53,IF('Plant Total by Account'!$H$1=2,AN53,"Input Toggle"))</f>
        <v>0</v>
      </c>
      <c r="X53" s="657">
        <f>IF('Plant Total by Account'!$H$1=1,AG53,IF('Plant Total by Account'!$H$1=2,AO53,"Input Toggle"))</f>
        <v>0</v>
      </c>
      <c r="Y53" s="657">
        <f t="shared" si="16"/>
        <v>0</v>
      </c>
      <c r="Z53" s="121">
        <f t="shared" si="17"/>
        <v>0</v>
      </c>
      <c r="AA53" s="121">
        <f t="shared" si="18"/>
        <v>0</v>
      </c>
      <c r="AB53" s="657">
        <f>SUMIF('ISO w_System Splits'!$D$8:$D$469,$B53,'ISO w_System Splits'!G$8:G$469)</f>
        <v>12025290.050000001</v>
      </c>
      <c r="AC53" s="657">
        <f>SUMIF('ISO w_System Splits'!$D$8:$D$469,$B53,'ISO w_System Splits'!H$8:H$469)</f>
        <v>0</v>
      </c>
      <c r="AD53" s="657">
        <f>SUMIF('ISO w_System Splits'!$D$8:$D$469,$B53,'ISO w_System Splits'!I$8:I$469)</f>
        <v>0</v>
      </c>
      <c r="AE53" s="657">
        <v>0</v>
      </c>
      <c r="AF53" s="657">
        <v>0</v>
      </c>
      <c r="AG53" s="657">
        <v>0</v>
      </c>
      <c r="AH53" s="130"/>
      <c r="AI53" s="657">
        <f>SUMIF('ISO w_System Splits'!$D$8:$D$615,$B53,'ISO w_System Splits'!G$8:G$615)-SUMIF('ISO w_System Splits'!$D$470:$D$520,$B53,'ISO w_System Splits'!G$470:G$520)</f>
        <v>12025290.050000001</v>
      </c>
      <c r="AJ53" s="657">
        <f>SUMIF('ISO w_System Splits'!$D$8:$D$615,$B53,'ISO w_System Splits'!H$8:H$615)-SUMIF('ISO w_System Splits'!$D$470:$D$520,$B53,'ISO w_System Splits'!H$470:H$520)</f>
        <v>0</v>
      </c>
      <c r="AK53" s="657">
        <f>SUMIF('ISO w_System Splits'!$D$8:$D$615,$B53,'ISO w_System Splits'!I$8:I$615)-SUMIF('ISO w_System Splits'!$D$470:$D$520,$B53,'ISO w_System Splits'!I$470:I$520)</f>
        <v>0</v>
      </c>
      <c r="AL53" s="130"/>
      <c r="AM53" s="657">
        <v>0</v>
      </c>
      <c r="AN53" s="657">
        <v>0</v>
      </c>
      <c r="AO53" s="657">
        <v>0</v>
      </c>
      <c r="AP53" s="130"/>
      <c r="AR53">
        <f t="shared" si="19"/>
        <v>0</v>
      </c>
      <c r="AS53">
        <f t="shared" si="20"/>
        <v>0</v>
      </c>
      <c r="AT53">
        <f t="shared" si="21"/>
        <v>0</v>
      </c>
      <c r="AV53">
        <f t="shared" si="22"/>
        <v>0</v>
      </c>
      <c r="AW53">
        <f t="shared" si="23"/>
        <v>0</v>
      </c>
      <c r="AX53">
        <f t="shared" si="24"/>
        <v>0</v>
      </c>
    </row>
    <row r="54" spans="1:50" x14ac:dyDescent="0.25">
      <c r="A54" t="s">
        <v>1439</v>
      </c>
      <c r="B54" s="120">
        <v>4157</v>
      </c>
      <c r="C54" s="1">
        <v>105605.40000000001</v>
      </c>
      <c r="D54" s="287">
        <v>18610.490000000002</v>
      </c>
      <c r="E54" s="1">
        <v>0</v>
      </c>
      <c r="F54" s="1">
        <v>0</v>
      </c>
      <c r="G54" s="1">
        <v>0</v>
      </c>
      <c r="H54" s="1">
        <v>0</v>
      </c>
      <c r="I54" s="152">
        <f t="shared" si="0"/>
        <v>124215.89000000001</v>
      </c>
      <c r="J54" s="121">
        <v>0</v>
      </c>
      <c r="K54" s="121">
        <v>0</v>
      </c>
      <c r="L54" s="121">
        <v>0</v>
      </c>
      <c r="M54" s="657">
        <f>IF('Plant Total by Account'!$H$1=1,AB54,IF('Plant Total by Account'!$H$1=2,AI54,"Input Toggle"))</f>
        <v>105605.40000000001</v>
      </c>
      <c r="N54" s="657">
        <f>IF('Plant Total by Account'!$H$1=1,AC54,IF('Plant Total by Account'!$H$1=2,AJ54,"Input Toggle"))</f>
        <v>18610.490000000002</v>
      </c>
      <c r="O54" s="657">
        <f>IF('Plant Total by Account'!$H$1=1,AD54,IF('Plant Total by Account'!$H$1=2,AK54,"Input Toggle"))</f>
        <v>0</v>
      </c>
      <c r="P54" s="660">
        <f t="shared" si="13"/>
        <v>0</v>
      </c>
      <c r="Q54" s="657">
        <f t="shared" si="14"/>
        <v>0</v>
      </c>
      <c r="R54" s="657">
        <f t="shared" si="15"/>
        <v>0</v>
      </c>
      <c r="S54" s="657">
        <v>0</v>
      </c>
      <c r="T54" s="657">
        <v>0</v>
      </c>
      <c r="U54" s="657">
        <v>0</v>
      </c>
      <c r="V54" s="657">
        <f>IF('Plant Total by Account'!$H$1=1,AE54,IF('Plant Total by Account'!$H$1=2,AM54,"Input Toggle"))</f>
        <v>0</v>
      </c>
      <c r="W54" s="657">
        <f>IF('Plant Total by Account'!$H$1=1,AF54,IF('Plant Total by Account'!$H$1=2,AN54,"Input Toggle"))</f>
        <v>0</v>
      </c>
      <c r="X54" s="657">
        <f>IF('Plant Total by Account'!$H$1=1,AG54,IF('Plant Total by Account'!$H$1=2,AO54,"Input Toggle"))</f>
        <v>0</v>
      </c>
      <c r="Y54" s="657">
        <f t="shared" si="16"/>
        <v>0</v>
      </c>
      <c r="Z54" s="121">
        <f t="shared" si="17"/>
        <v>0</v>
      </c>
      <c r="AA54" s="121">
        <f t="shared" si="18"/>
        <v>0</v>
      </c>
      <c r="AB54" s="657">
        <f>SUMIF('ISO w_System Splits'!$D$8:$D$469,$B54,'ISO w_System Splits'!G$8:G$469)</f>
        <v>105605.40000000001</v>
      </c>
      <c r="AC54" s="657">
        <f>SUMIF('ISO w_System Splits'!$D$8:$D$469,$B54,'ISO w_System Splits'!H$8:H$469)</f>
        <v>18610.490000000002</v>
      </c>
      <c r="AD54" s="657">
        <f>SUMIF('ISO w_System Splits'!$D$8:$D$469,$B54,'ISO w_System Splits'!I$8:I$469)</f>
        <v>0</v>
      </c>
      <c r="AE54" s="657">
        <v>0</v>
      </c>
      <c r="AF54" s="657">
        <v>0</v>
      </c>
      <c r="AG54" s="657">
        <v>0</v>
      </c>
      <c r="AH54" s="130"/>
      <c r="AI54" s="657">
        <f>SUMIF('ISO w_System Splits'!$D$8:$D$615,$B54,'ISO w_System Splits'!G$8:G$615)-SUMIF('ISO w_System Splits'!$D$470:$D$520,$B54,'ISO w_System Splits'!G$470:G$520)</f>
        <v>105605.40000000001</v>
      </c>
      <c r="AJ54" s="657">
        <f>SUMIF('ISO w_System Splits'!$D$8:$D$615,$B54,'ISO w_System Splits'!H$8:H$615)-SUMIF('ISO w_System Splits'!$D$470:$D$520,$B54,'ISO w_System Splits'!H$470:H$520)</f>
        <v>18610.490000000002</v>
      </c>
      <c r="AK54" s="657">
        <f>SUMIF('ISO w_System Splits'!$D$8:$D$615,$B54,'ISO w_System Splits'!I$8:I$615)-SUMIF('ISO w_System Splits'!$D$470:$D$520,$B54,'ISO w_System Splits'!I$470:I$520)</f>
        <v>0</v>
      </c>
      <c r="AL54" s="130"/>
      <c r="AM54" s="657">
        <v>0</v>
      </c>
      <c r="AN54" s="657">
        <v>0</v>
      </c>
      <c r="AO54" s="657">
        <v>0</v>
      </c>
      <c r="AP54" s="130"/>
      <c r="AR54">
        <f t="shared" si="19"/>
        <v>0</v>
      </c>
      <c r="AS54">
        <f t="shared" si="20"/>
        <v>0</v>
      </c>
      <c r="AT54">
        <f t="shared" si="21"/>
        <v>0</v>
      </c>
      <c r="AV54">
        <f t="shared" si="22"/>
        <v>0</v>
      </c>
      <c r="AW54">
        <f t="shared" si="23"/>
        <v>0</v>
      </c>
      <c r="AX54">
        <f t="shared" si="24"/>
        <v>0</v>
      </c>
    </row>
    <row r="55" spans="1:50" ht="15" customHeight="1" x14ac:dyDescent="0.25">
      <c r="A55" t="s">
        <v>519</v>
      </c>
      <c r="B55" s="120">
        <v>4158</v>
      </c>
      <c r="C55" s="1">
        <v>498252.05000000005</v>
      </c>
      <c r="D55" s="1">
        <v>0</v>
      </c>
      <c r="E55" s="1">
        <v>0</v>
      </c>
      <c r="F55" s="1">
        <v>0</v>
      </c>
      <c r="G55" s="1">
        <v>0</v>
      </c>
      <c r="H55" s="1">
        <v>0</v>
      </c>
      <c r="I55" s="152">
        <f t="shared" si="0"/>
        <v>498252.05000000005</v>
      </c>
      <c r="J55" s="121">
        <v>0</v>
      </c>
      <c r="K55" s="121">
        <v>0</v>
      </c>
      <c r="L55" s="121">
        <v>0</v>
      </c>
      <c r="M55" s="657">
        <f>IF('Plant Total by Account'!$H$1=1,AB55,IF('Plant Total by Account'!$H$1=2,AI55,"Input Toggle"))</f>
        <v>0</v>
      </c>
      <c r="N55" s="657">
        <f>IF('Plant Total by Account'!$H$1=1,AC55,IF('Plant Total by Account'!$H$1=2,AJ55,"Input Toggle"))</f>
        <v>0</v>
      </c>
      <c r="O55" s="657">
        <f>IF('Plant Total by Account'!$H$1=1,AD55,IF('Plant Total by Account'!$H$1=2,AK55,"Input Toggle"))</f>
        <v>0</v>
      </c>
      <c r="P55" s="660">
        <f t="shared" si="13"/>
        <v>498252.05000000005</v>
      </c>
      <c r="Q55" s="657">
        <f t="shared" si="14"/>
        <v>0</v>
      </c>
      <c r="R55" s="657">
        <f t="shared" si="15"/>
        <v>0</v>
      </c>
      <c r="S55" s="657">
        <v>0</v>
      </c>
      <c r="T55" s="657">
        <v>0</v>
      </c>
      <c r="U55" s="657">
        <v>0</v>
      </c>
      <c r="V55" s="657">
        <f>IF('Plant Total by Account'!$H$1=1,AE55,IF('Plant Total by Account'!$H$1=2,AM55,"Input Toggle"))</f>
        <v>0</v>
      </c>
      <c r="W55" s="657">
        <f>IF('Plant Total by Account'!$H$1=1,AF55,IF('Plant Total by Account'!$H$1=2,AN55,"Input Toggle"))</f>
        <v>0</v>
      </c>
      <c r="X55" s="657">
        <f>IF('Plant Total by Account'!$H$1=1,AG55,IF('Plant Total by Account'!$H$1=2,AO55,"Input Toggle"))</f>
        <v>0</v>
      </c>
      <c r="Y55" s="657">
        <f t="shared" si="16"/>
        <v>0</v>
      </c>
      <c r="Z55" s="121">
        <f t="shared" si="17"/>
        <v>0</v>
      </c>
      <c r="AA55" s="121">
        <f t="shared" si="18"/>
        <v>0</v>
      </c>
      <c r="AB55" s="657">
        <f>SUMIF('ISO w_System Splits'!$D$8:$D$469,$B55,'ISO w_System Splits'!G$8:G$469)</f>
        <v>0</v>
      </c>
      <c r="AC55" s="657">
        <f>SUMIF('ISO w_System Splits'!$D$8:$D$469,$B55,'ISO w_System Splits'!H$8:H$469)</f>
        <v>0</v>
      </c>
      <c r="AD55" s="657">
        <f>SUMIF('ISO w_System Splits'!$D$8:$D$469,$B55,'ISO w_System Splits'!I$8:I$469)</f>
        <v>0</v>
      </c>
      <c r="AE55" s="657">
        <v>0</v>
      </c>
      <c r="AF55" s="657">
        <v>0</v>
      </c>
      <c r="AG55" s="657">
        <v>0</v>
      </c>
      <c r="AH55" s="130"/>
      <c r="AI55" s="657">
        <f>SUMIF('ISO w_System Splits'!$D$8:$D$615,$B55,'ISO w_System Splits'!G$8:G$615)-SUMIF('ISO w_System Splits'!$D$470:$D$520,$B55,'ISO w_System Splits'!G$470:G$520)</f>
        <v>0</v>
      </c>
      <c r="AJ55" s="657">
        <f>SUMIF('ISO w_System Splits'!$D$8:$D$615,$B55,'ISO w_System Splits'!H$8:H$615)-SUMIF('ISO w_System Splits'!$D$470:$D$520,$B55,'ISO w_System Splits'!H$470:H$520)</f>
        <v>0</v>
      </c>
      <c r="AK55" s="657">
        <f>SUMIF('ISO w_System Splits'!$D$8:$D$615,$B55,'ISO w_System Splits'!I$8:I$615)-SUMIF('ISO w_System Splits'!$D$470:$D$520,$B55,'ISO w_System Splits'!I$470:I$520)</f>
        <v>0</v>
      </c>
      <c r="AL55" s="130"/>
      <c r="AM55" s="657">
        <v>0</v>
      </c>
      <c r="AN55" s="657">
        <v>0</v>
      </c>
      <c r="AO55" s="657">
        <v>0</v>
      </c>
      <c r="AP55" s="130"/>
      <c r="AR55">
        <f t="shared" si="19"/>
        <v>0</v>
      </c>
      <c r="AS55">
        <f t="shared" si="20"/>
        <v>0</v>
      </c>
      <c r="AT55">
        <f t="shared" si="21"/>
        <v>0</v>
      </c>
      <c r="AV55">
        <f t="shared" si="22"/>
        <v>0</v>
      </c>
      <c r="AW55">
        <f t="shared" si="23"/>
        <v>0</v>
      </c>
      <c r="AX55">
        <f t="shared" si="24"/>
        <v>0</v>
      </c>
    </row>
    <row r="56" spans="1:50" ht="15" customHeight="1" x14ac:dyDescent="0.25">
      <c r="A56" t="s">
        <v>1332</v>
      </c>
      <c r="B56" s="120">
        <v>4166</v>
      </c>
      <c r="C56" s="1">
        <v>9034.39</v>
      </c>
      <c r="D56" s="1">
        <v>0</v>
      </c>
      <c r="E56" s="1">
        <v>0</v>
      </c>
      <c r="F56" s="1">
        <v>0</v>
      </c>
      <c r="G56" s="1">
        <v>0</v>
      </c>
      <c r="H56" s="1">
        <v>0</v>
      </c>
      <c r="I56" s="152">
        <v>9034.39</v>
      </c>
      <c r="J56" s="121">
        <v>0</v>
      </c>
      <c r="K56" s="121">
        <v>0</v>
      </c>
      <c r="L56" s="121">
        <v>0</v>
      </c>
      <c r="M56" s="657">
        <f>IF('Plant Total by Account'!$H$1=1,AB56,IF('Plant Total by Account'!$H$1=2,AI56,"Input Toggle"))</f>
        <v>9034.39</v>
      </c>
      <c r="N56" s="657">
        <f>IF('Plant Total by Account'!$H$1=1,AC56,IF('Plant Total by Account'!$H$1=2,AJ56,"Input Toggle"))</f>
        <v>0</v>
      </c>
      <c r="O56" s="657">
        <f>IF('Plant Total by Account'!$H$1=1,AD56,IF('Plant Total by Account'!$H$1=2,AK56,"Input Toggle"))</f>
        <v>0</v>
      </c>
      <c r="P56" s="660">
        <f t="shared" si="13"/>
        <v>0</v>
      </c>
      <c r="Q56" s="657">
        <f t="shared" si="14"/>
        <v>0</v>
      </c>
      <c r="R56" s="657">
        <f t="shared" si="15"/>
        <v>0</v>
      </c>
      <c r="S56" s="657">
        <v>0</v>
      </c>
      <c r="T56" s="657">
        <v>0</v>
      </c>
      <c r="U56" s="657">
        <v>0</v>
      </c>
      <c r="V56" s="657">
        <f>IF('Plant Total by Account'!$H$1=1,AE56,IF('Plant Total by Account'!$H$1=2,AM56,"Input Toggle"))</f>
        <v>0</v>
      </c>
      <c r="W56" s="657">
        <f>IF('Plant Total by Account'!$H$1=1,AF56,IF('Plant Total by Account'!$H$1=2,AN56,"Input Toggle"))</f>
        <v>0</v>
      </c>
      <c r="X56" s="657">
        <f>IF('Plant Total by Account'!$H$1=1,AG56,IF('Plant Total by Account'!$H$1=2,AO56,"Input Toggle"))</f>
        <v>0</v>
      </c>
      <c r="Y56" s="657">
        <f t="shared" si="16"/>
        <v>0</v>
      </c>
      <c r="Z56" s="121">
        <f t="shared" si="17"/>
        <v>0</v>
      </c>
      <c r="AA56" s="121">
        <f t="shared" si="18"/>
        <v>0</v>
      </c>
      <c r="AB56" s="657">
        <f>SUMIF('ISO w_System Splits'!$D$8:$D$469,$B56,'ISO w_System Splits'!G$8:G$469)</f>
        <v>9034.39</v>
      </c>
      <c r="AC56" s="657">
        <f>SUMIF('ISO w_System Splits'!$D$8:$D$469,$B56,'ISO w_System Splits'!H$8:H$469)</f>
        <v>0</v>
      </c>
      <c r="AD56" s="657">
        <f>SUMIF('ISO w_System Splits'!$D$8:$D$469,$B56,'ISO w_System Splits'!I$8:I$469)</f>
        <v>0</v>
      </c>
      <c r="AE56" s="657">
        <v>0</v>
      </c>
      <c r="AF56" s="657">
        <v>0</v>
      </c>
      <c r="AG56" s="657">
        <v>0</v>
      </c>
      <c r="AH56" s="130"/>
      <c r="AI56" s="657">
        <f>SUMIF('ISO w_System Splits'!$D$8:$D$615,$B56,'ISO w_System Splits'!G$8:G$615)-SUMIF('ISO w_System Splits'!$D$470:$D$520,$B56,'ISO w_System Splits'!G$470:G$520)</f>
        <v>9034.39</v>
      </c>
      <c r="AJ56" s="657">
        <f>SUMIF('ISO w_System Splits'!$D$8:$D$615,$B56,'ISO w_System Splits'!H$8:H$615)-SUMIF('ISO w_System Splits'!$D$470:$D$520,$B56,'ISO w_System Splits'!H$470:H$520)</f>
        <v>0</v>
      </c>
      <c r="AK56" s="657">
        <f>SUMIF('ISO w_System Splits'!$D$8:$D$615,$B56,'ISO w_System Splits'!I$8:I$615)-SUMIF('ISO w_System Splits'!$D$470:$D$520,$B56,'ISO w_System Splits'!I$470:I$520)</f>
        <v>0</v>
      </c>
      <c r="AL56" s="130"/>
      <c r="AM56" s="657">
        <v>0</v>
      </c>
      <c r="AN56" s="657">
        <v>0</v>
      </c>
      <c r="AO56" s="657">
        <v>0</v>
      </c>
      <c r="AP56" s="130"/>
      <c r="AR56">
        <f t="shared" si="19"/>
        <v>0</v>
      </c>
      <c r="AS56">
        <f t="shared" si="20"/>
        <v>0</v>
      </c>
      <c r="AT56">
        <f t="shared" si="21"/>
        <v>0</v>
      </c>
      <c r="AV56">
        <f t="shared" si="22"/>
        <v>0</v>
      </c>
      <c r="AW56">
        <f t="shared" si="23"/>
        <v>0</v>
      </c>
      <c r="AX56">
        <f t="shared" si="24"/>
        <v>0</v>
      </c>
    </row>
    <row r="57" spans="1:50" ht="15" customHeight="1" x14ac:dyDescent="0.25">
      <c r="A57" t="s">
        <v>520</v>
      </c>
      <c r="B57" s="120">
        <v>4168</v>
      </c>
      <c r="C57" s="1">
        <v>4331.1900000000005</v>
      </c>
      <c r="D57" s="1">
        <v>0</v>
      </c>
      <c r="E57" s="1">
        <v>0</v>
      </c>
      <c r="F57" s="1">
        <v>0</v>
      </c>
      <c r="G57" s="1">
        <v>0</v>
      </c>
      <c r="H57" s="1">
        <v>0</v>
      </c>
      <c r="I57" s="152">
        <v>4331.1900000000005</v>
      </c>
      <c r="J57" s="121">
        <v>0</v>
      </c>
      <c r="K57" s="121">
        <v>0</v>
      </c>
      <c r="L57" s="121">
        <v>0</v>
      </c>
      <c r="M57" s="657">
        <f>IF('Plant Total by Account'!$H$1=1,AB57,IF('Plant Total by Account'!$H$1=2,AI57,"Input Toggle"))</f>
        <v>0</v>
      </c>
      <c r="N57" s="657">
        <f>IF('Plant Total by Account'!$H$1=1,AC57,IF('Plant Total by Account'!$H$1=2,AJ57,"Input Toggle"))</f>
        <v>0</v>
      </c>
      <c r="O57" s="657">
        <f>IF('Plant Total by Account'!$H$1=1,AD57,IF('Plant Total by Account'!$H$1=2,AK57,"Input Toggle"))</f>
        <v>0</v>
      </c>
      <c r="P57" s="660">
        <f t="shared" si="13"/>
        <v>4331.1900000000005</v>
      </c>
      <c r="Q57" s="657">
        <f t="shared" si="14"/>
        <v>0</v>
      </c>
      <c r="R57" s="657">
        <f t="shared" si="15"/>
        <v>0</v>
      </c>
      <c r="S57" s="657">
        <v>0</v>
      </c>
      <c r="T57" s="657">
        <v>0</v>
      </c>
      <c r="U57" s="657">
        <v>0</v>
      </c>
      <c r="V57" s="657">
        <f>IF('Plant Total by Account'!$H$1=1,AE57,IF('Plant Total by Account'!$H$1=2,AM57,"Input Toggle"))</f>
        <v>0</v>
      </c>
      <c r="W57" s="657">
        <f>IF('Plant Total by Account'!$H$1=1,AF57,IF('Plant Total by Account'!$H$1=2,AN57,"Input Toggle"))</f>
        <v>0</v>
      </c>
      <c r="X57" s="657">
        <f>IF('Plant Total by Account'!$H$1=1,AG57,IF('Plant Total by Account'!$H$1=2,AO57,"Input Toggle"))</f>
        <v>0</v>
      </c>
      <c r="Y57" s="657">
        <f t="shared" si="16"/>
        <v>0</v>
      </c>
      <c r="Z57" s="121">
        <f t="shared" si="17"/>
        <v>0</v>
      </c>
      <c r="AA57" s="121">
        <f t="shared" si="18"/>
        <v>0</v>
      </c>
      <c r="AB57" s="657">
        <f>SUMIF('ISO w_System Splits'!$D$8:$D$469,$B57,'ISO w_System Splits'!G$8:G$469)</f>
        <v>0</v>
      </c>
      <c r="AC57" s="657">
        <f>SUMIF('ISO w_System Splits'!$D$8:$D$469,$B57,'ISO w_System Splits'!H$8:H$469)</f>
        <v>0</v>
      </c>
      <c r="AD57" s="657">
        <f>SUMIF('ISO w_System Splits'!$D$8:$D$469,$B57,'ISO w_System Splits'!I$8:I$469)</f>
        <v>0</v>
      </c>
      <c r="AE57" s="657">
        <v>0</v>
      </c>
      <c r="AF57" s="657">
        <v>0</v>
      </c>
      <c r="AG57" s="657">
        <v>0</v>
      </c>
      <c r="AH57" s="130"/>
      <c r="AI57" s="657">
        <f>SUMIF('ISO w_System Splits'!$D$8:$D$615,$B57,'ISO w_System Splits'!G$8:G$615)-SUMIF('ISO w_System Splits'!$D$470:$D$520,$B57,'ISO w_System Splits'!G$470:G$520)</f>
        <v>0</v>
      </c>
      <c r="AJ57" s="657">
        <f>SUMIF('ISO w_System Splits'!$D$8:$D$615,$B57,'ISO w_System Splits'!H$8:H$615)-SUMIF('ISO w_System Splits'!$D$470:$D$520,$B57,'ISO w_System Splits'!H$470:H$520)</f>
        <v>0</v>
      </c>
      <c r="AK57" s="657">
        <f>SUMIF('ISO w_System Splits'!$D$8:$D$615,$B57,'ISO w_System Splits'!I$8:I$615)-SUMIF('ISO w_System Splits'!$D$470:$D$520,$B57,'ISO w_System Splits'!I$470:I$520)</f>
        <v>0</v>
      </c>
      <c r="AL57" s="130"/>
      <c r="AM57" s="657">
        <v>0</v>
      </c>
      <c r="AN57" s="657">
        <v>0</v>
      </c>
      <c r="AO57" s="657">
        <v>0</v>
      </c>
      <c r="AP57" s="130"/>
      <c r="AR57">
        <f t="shared" si="19"/>
        <v>0</v>
      </c>
      <c r="AS57">
        <f t="shared" si="20"/>
        <v>0</v>
      </c>
      <c r="AT57">
        <f t="shared" si="21"/>
        <v>0</v>
      </c>
      <c r="AV57">
        <f t="shared" si="22"/>
        <v>0</v>
      </c>
      <c r="AW57">
        <f t="shared" si="23"/>
        <v>0</v>
      </c>
      <c r="AX57">
        <f t="shared" si="24"/>
        <v>0</v>
      </c>
    </row>
    <row r="58" spans="1:50" ht="15" customHeight="1" x14ac:dyDescent="0.25">
      <c r="A58" t="s">
        <v>1433</v>
      </c>
      <c r="B58" s="120">
        <v>4169</v>
      </c>
      <c r="C58" s="1">
        <v>3565382.1700000009</v>
      </c>
      <c r="D58" s="1">
        <v>0</v>
      </c>
      <c r="E58" s="1">
        <v>2701.36</v>
      </c>
      <c r="F58" s="1">
        <v>0</v>
      </c>
      <c r="G58" s="1">
        <v>0</v>
      </c>
      <c r="H58" s="1">
        <v>0</v>
      </c>
      <c r="I58" s="152">
        <v>3568083.5300000007</v>
      </c>
      <c r="J58" s="121">
        <v>0</v>
      </c>
      <c r="K58" s="121">
        <v>0</v>
      </c>
      <c r="L58" s="121">
        <v>0</v>
      </c>
      <c r="M58" s="657">
        <f>IF('Plant Total by Account'!$H$1=1,AB58,IF('Plant Total by Account'!$H$1=2,AI58,"Input Toggle"))</f>
        <v>3452749.4022800648</v>
      </c>
      <c r="N58" s="657">
        <f>IF('Plant Total by Account'!$H$1=1,AC58,IF('Plant Total by Account'!$H$1=2,AJ58,"Input Toggle"))</f>
        <v>0</v>
      </c>
      <c r="O58" s="657">
        <f>IF('Plant Total by Account'!$H$1=1,AD58,IF('Plant Total by Account'!$H$1=2,AK58,"Input Toggle"))</f>
        <v>2616.0222609020552</v>
      </c>
      <c r="P58" s="660">
        <f t="shared" si="13"/>
        <v>112632.76771993609</v>
      </c>
      <c r="Q58" s="657">
        <f t="shared" si="14"/>
        <v>0</v>
      </c>
      <c r="R58" s="657">
        <f t="shared" si="15"/>
        <v>85.337739097944905</v>
      </c>
      <c r="S58" s="657">
        <v>0</v>
      </c>
      <c r="T58" s="657">
        <v>0</v>
      </c>
      <c r="U58" s="657">
        <v>0</v>
      </c>
      <c r="V58" s="657">
        <f>IF('Plant Total by Account'!$H$1=1,AE58,IF('Plant Total by Account'!$H$1=2,AM58,"Input Toggle"))</f>
        <v>0</v>
      </c>
      <c r="W58" s="657">
        <f>IF('Plant Total by Account'!$H$1=1,AF58,IF('Plant Total by Account'!$H$1=2,AN58,"Input Toggle"))</f>
        <v>0</v>
      </c>
      <c r="X58" s="657">
        <f>IF('Plant Total by Account'!$H$1=1,AG58,IF('Plant Total by Account'!$H$1=2,AO58,"Input Toggle"))</f>
        <v>0</v>
      </c>
      <c r="Y58" s="657">
        <f t="shared" si="16"/>
        <v>0</v>
      </c>
      <c r="Z58" s="121">
        <f t="shared" si="17"/>
        <v>0</v>
      </c>
      <c r="AA58" s="121">
        <f t="shared" si="18"/>
        <v>0</v>
      </c>
      <c r="AB58" s="657">
        <f>SUMIF('ISO w_System Splits'!$D$8:$D$469,$B58,'ISO w_System Splits'!G$8:G$469)</f>
        <v>3452749.4022800648</v>
      </c>
      <c r="AC58" s="657">
        <f>SUMIF('ISO w_System Splits'!$D$8:$D$469,$B58,'ISO w_System Splits'!H$8:H$469)</f>
        <v>0</v>
      </c>
      <c r="AD58" s="657">
        <f>SUMIF('ISO w_System Splits'!$D$8:$D$469,$B58,'ISO w_System Splits'!I$8:I$469)</f>
        <v>2616.0222609020552</v>
      </c>
      <c r="AE58" s="657">
        <v>0</v>
      </c>
      <c r="AF58" s="657">
        <v>0</v>
      </c>
      <c r="AG58" s="657">
        <v>0</v>
      </c>
      <c r="AH58" s="130"/>
      <c r="AI58" s="657">
        <f>SUMIF('ISO w_System Splits'!$D$8:$D$615,$B58,'ISO w_System Splits'!G$8:G$615)-SUMIF('ISO w_System Splits'!$D$470:$D$520,$B58,'ISO w_System Splits'!G$470:G$520)</f>
        <v>3452749.4022800648</v>
      </c>
      <c r="AJ58" s="657">
        <f>SUMIF('ISO w_System Splits'!$D$8:$D$615,$B58,'ISO w_System Splits'!H$8:H$615)-SUMIF('ISO w_System Splits'!$D$470:$D$520,$B58,'ISO w_System Splits'!H$470:H$520)</f>
        <v>0</v>
      </c>
      <c r="AK58" s="657">
        <f>SUMIF('ISO w_System Splits'!$D$8:$D$615,$B58,'ISO w_System Splits'!I$8:I$615)-SUMIF('ISO w_System Splits'!$D$470:$D$520,$B58,'ISO w_System Splits'!I$470:I$520)</f>
        <v>2616.0222609020552</v>
      </c>
      <c r="AL58" s="130"/>
      <c r="AM58" s="657">
        <v>0</v>
      </c>
      <c r="AN58" s="657">
        <v>0</v>
      </c>
      <c r="AO58" s="657">
        <v>0</v>
      </c>
      <c r="AP58" s="130"/>
      <c r="AR58">
        <f t="shared" si="19"/>
        <v>0</v>
      </c>
      <c r="AS58">
        <f t="shared" si="20"/>
        <v>0</v>
      </c>
      <c r="AT58">
        <f t="shared" si="21"/>
        <v>0</v>
      </c>
      <c r="AV58">
        <f t="shared" si="22"/>
        <v>0</v>
      </c>
      <c r="AW58">
        <f t="shared" si="23"/>
        <v>0</v>
      </c>
      <c r="AX58">
        <f t="shared" si="24"/>
        <v>0</v>
      </c>
    </row>
    <row r="59" spans="1:50" ht="15" customHeight="1" x14ac:dyDescent="0.25">
      <c r="A59" t="s">
        <v>1333</v>
      </c>
      <c r="B59" s="120">
        <v>4185</v>
      </c>
      <c r="C59" s="1">
        <v>12533939</v>
      </c>
      <c r="D59" s="1">
        <v>0</v>
      </c>
      <c r="E59" s="1">
        <v>0</v>
      </c>
      <c r="F59" s="1">
        <v>0</v>
      </c>
      <c r="G59" s="1">
        <v>0</v>
      </c>
      <c r="H59" s="1">
        <v>0</v>
      </c>
      <c r="I59" s="152">
        <v>12533939</v>
      </c>
      <c r="J59" s="121">
        <v>0</v>
      </c>
      <c r="K59" s="121">
        <v>0</v>
      </c>
      <c r="L59" s="121">
        <v>0</v>
      </c>
      <c r="M59" s="657">
        <f>IF('Plant Total by Account'!$H$1=1,AB59,IF('Plant Total by Account'!$H$1=2,AI59,"Input Toggle"))</f>
        <v>12546475.5</v>
      </c>
      <c r="N59" s="657">
        <f>IF('Plant Total by Account'!$H$1=1,AC59,IF('Plant Total by Account'!$H$1=2,AJ59,"Input Toggle"))</f>
        <v>0</v>
      </c>
      <c r="O59" s="657">
        <f>IF('Plant Total by Account'!$H$1=1,AD59,IF('Plant Total by Account'!$H$1=2,AK59,"Input Toggle"))</f>
        <v>0</v>
      </c>
      <c r="P59" s="660">
        <f t="shared" si="13"/>
        <v>-12536.5</v>
      </c>
      <c r="Q59" s="657">
        <f t="shared" si="14"/>
        <v>0</v>
      </c>
      <c r="R59" s="657">
        <f t="shared" si="15"/>
        <v>0</v>
      </c>
      <c r="S59" s="657">
        <v>0</v>
      </c>
      <c r="T59" s="657">
        <v>0</v>
      </c>
      <c r="U59" s="657">
        <v>0</v>
      </c>
      <c r="V59" s="657">
        <f>IF('Plant Total by Account'!$H$1=1,AE59,IF('Plant Total by Account'!$H$1=2,AM59,"Input Toggle"))</f>
        <v>0</v>
      </c>
      <c r="W59" s="657">
        <f>IF('Plant Total by Account'!$H$1=1,AF59,IF('Plant Total by Account'!$H$1=2,AN59,"Input Toggle"))</f>
        <v>0</v>
      </c>
      <c r="X59" s="657">
        <f>IF('Plant Total by Account'!$H$1=1,AG59,IF('Plant Total by Account'!$H$1=2,AO59,"Input Toggle"))</f>
        <v>0</v>
      </c>
      <c r="Y59" s="657">
        <f t="shared" si="16"/>
        <v>0</v>
      </c>
      <c r="Z59" s="121">
        <f t="shared" si="17"/>
        <v>0</v>
      </c>
      <c r="AA59" s="121">
        <f t="shared" si="18"/>
        <v>0</v>
      </c>
      <c r="AB59" s="657">
        <f>SUMIF('ISO w_System Splits'!$D$8:$D$469,$B59,'ISO w_System Splits'!G$8:G$469)</f>
        <v>12546475.5</v>
      </c>
      <c r="AC59" s="657">
        <f>SUMIF('ISO w_System Splits'!$D$8:$D$469,$B59,'ISO w_System Splits'!H$8:H$469)</f>
        <v>0</v>
      </c>
      <c r="AD59" s="657">
        <f>SUMIF('ISO w_System Splits'!$D$8:$D$469,$B59,'ISO w_System Splits'!I$8:I$469)</f>
        <v>0</v>
      </c>
      <c r="AE59" s="657">
        <v>0</v>
      </c>
      <c r="AF59" s="657">
        <v>0</v>
      </c>
      <c r="AG59" s="657">
        <v>0</v>
      </c>
      <c r="AH59" s="130"/>
      <c r="AI59" s="657">
        <f>SUMIF('ISO w_System Splits'!$D$8:$D$615,$B59,'ISO w_System Splits'!G$8:G$615)-SUMIF('ISO w_System Splits'!$D$470:$D$520,$B59,'ISO w_System Splits'!G$470:G$520)</f>
        <v>12546475.5</v>
      </c>
      <c r="AJ59" s="657">
        <f>SUMIF('ISO w_System Splits'!$D$8:$D$615,$B59,'ISO w_System Splits'!H$8:H$615)-SUMIF('ISO w_System Splits'!$D$470:$D$520,$B59,'ISO w_System Splits'!H$470:H$520)</f>
        <v>0</v>
      </c>
      <c r="AK59" s="657">
        <f>SUMIF('ISO w_System Splits'!$D$8:$D$615,$B59,'ISO w_System Splits'!I$8:I$615)-SUMIF('ISO w_System Splits'!$D$470:$D$520,$B59,'ISO w_System Splits'!I$470:I$520)</f>
        <v>0</v>
      </c>
      <c r="AL59" s="130"/>
      <c r="AM59" s="657">
        <v>0</v>
      </c>
      <c r="AN59" s="657">
        <v>0</v>
      </c>
      <c r="AO59" s="657">
        <v>0</v>
      </c>
      <c r="AP59" s="130"/>
      <c r="AR59">
        <f t="shared" si="19"/>
        <v>0</v>
      </c>
      <c r="AS59">
        <f t="shared" si="20"/>
        <v>0</v>
      </c>
      <c r="AT59">
        <f t="shared" si="21"/>
        <v>0</v>
      </c>
      <c r="AV59">
        <f t="shared" si="22"/>
        <v>0</v>
      </c>
      <c r="AW59">
        <f t="shared" si="23"/>
        <v>0</v>
      </c>
      <c r="AX59">
        <f t="shared" si="24"/>
        <v>0</v>
      </c>
    </row>
    <row r="60" spans="1:50" ht="15" customHeight="1" x14ac:dyDescent="0.25">
      <c r="A60" t="s">
        <v>1333</v>
      </c>
      <c r="B60" s="120">
        <v>4186</v>
      </c>
      <c r="C60" s="1">
        <v>1193710.3500000001</v>
      </c>
      <c r="D60" s="1">
        <v>0</v>
      </c>
      <c r="E60" s="1">
        <v>0</v>
      </c>
      <c r="F60" s="1">
        <v>0</v>
      </c>
      <c r="G60" s="1">
        <v>0</v>
      </c>
      <c r="H60" s="1">
        <v>0</v>
      </c>
      <c r="I60" s="152">
        <v>1193710.3500000001</v>
      </c>
      <c r="J60" s="121">
        <v>0</v>
      </c>
      <c r="K60" s="121">
        <v>0</v>
      </c>
      <c r="L60" s="121">
        <v>0</v>
      </c>
      <c r="M60" s="657">
        <f>IF('Plant Total by Account'!$H$1=1,AB60,IF('Plant Total by Account'!$H$1=2,AI60,"Input Toggle"))</f>
        <v>1194334.76</v>
      </c>
      <c r="N60" s="657">
        <f>IF('Plant Total by Account'!$H$1=1,AC60,IF('Plant Total by Account'!$H$1=2,AJ60,"Input Toggle"))</f>
        <v>0</v>
      </c>
      <c r="O60" s="657">
        <f>IF('Plant Total by Account'!$H$1=1,AD60,IF('Plant Total by Account'!$H$1=2,AK60,"Input Toggle"))</f>
        <v>0</v>
      </c>
      <c r="P60" s="660">
        <f t="shared" si="13"/>
        <v>-624.40999999991618</v>
      </c>
      <c r="Q60" s="657">
        <f t="shared" si="14"/>
        <v>0</v>
      </c>
      <c r="R60" s="657">
        <f t="shared" si="15"/>
        <v>0</v>
      </c>
      <c r="S60" s="657">
        <v>0</v>
      </c>
      <c r="T60" s="657">
        <v>0</v>
      </c>
      <c r="U60" s="657">
        <v>0</v>
      </c>
      <c r="V60" s="657">
        <f>IF('Plant Total by Account'!$H$1=1,AE60,IF('Plant Total by Account'!$H$1=2,AM60,"Input Toggle"))</f>
        <v>0</v>
      </c>
      <c r="W60" s="657">
        <f>IF('Plant Total by Account'!$H$1=1,AF60,IF('Plant Total by Account'!$H$1=2,AN60,"Input Toggle"))</f>
        <v>0</v>
      </c>
      <c r="X60" s="657">
        <f>IF('Plant Total by Account'!$H$1=1,AG60,IF('Plant Total by Account'!$H$1=2,AO60,"Input Toggle"))</f>
        <v>0</v>
      </c>
      <c r="Y60" s="657">
        <f t="shared" si="16"/>
        <v>0</v>
      </c>
      <c r="Z60" s="121">
        <f t="shared" si="17"/>
        <v>0</v>
      </c>
      <c r="AA60" s="121">
        <f t="shared" si="18"/>
        <v>0</v>
      </c>
      <c r="AB60" s="657">
        <f>SUMIF('ISO w_System Splits'!$D$8:$D$469,$B60,'ISO w_System Splits'!G$8:G$469)</f>
        <v>1194334.76</v>
      </c>
      <c r="AC60" s="657">
        <f>SUMIF('ISO w_System Splits'!$D$8:$D$469,$B60,'ISO w_System Splits'!H$8:H$469)</f>
        <v>0</v>
      </c>
      <c r="AD60" s="657">
        <f>SUMIF('ISO w_System Splits'!$D$8:$D$469,$B60,'ISO w_System Splits'!I$8:I$469)</f>
        <v>0</v>
      </c>
      <c r="AE60" s="657">
        <v>0</v>
      </c>
      <c r="AF60" s="657">
        <v>0</v>
      </c>
      <c r="AG60" s="657">
        <v>0</v>
      </c>
      <c r="AH60" s="130"/>
      <c r="AI60" s="657">
        <f>SUMIF('ISO w_System Splits'!$D$8:$D$615,$B60,'ISO w_System Splits'!G$8:G$615)-SUMIF('ISO w_System Splits'!$D$470:$D$520,$B60,'ISO w_System Splits'!G$470:G$520)</f>
        <v>1194334.76</v>
      </c>
      <c r="AJ60" s="657">
        <f>SUMIF('ISO w_System Splits'!$D$8:$D$615,$B60,'ISO w_System Splits'!H$8:H$615)-SUMIF('ISO w_System Splits'!$D$470:$D$520,$B60,'ISO w_System Splits'!H$470:H$520)</f>
        <v>0</v>
      </c>
      <c r="AK60" s="657">
        <f>SUMIF('ISO w_System Splits'!$D$8:$D$615,$B60,'ISO w_System Splits'!I$8:I$615)-SUMIF('ISO w_System Splits'!$D$470:$D$520,$B60,'ISO w_System Splits'!I$470:I$520)</f>
        <v>0</v>
      </c>
      <c r="AL60" s="130"/>
      <c r="AM60" s="657">
        <v>0</v>
      </c>
      <c r="AN60" s="657">
        <v>0</v>
      </c>
      <c r="AO60" s="657">
        <v>0</v>
      </c>
      <c r="AP60" s="130"/>
      <c r="AR60">
        <f t="shared" si="19"/>
        <v>0</v>
      </c>
      <c r="AS60">
        <f t="shared" si="20"/>
        <v>0</v>
      </c>
      <c r="AT60">
        <f t="shared" si="21"/>
        <v>0</v>
      </c>
      <c r="AV60">
        <f t="shared" si="22"/>
        <v>0</v>
      </c>
      <c r="AW60">
        <f t="shared" si="23"/>
        <v>0</v>
      </c>
      <c r="AX60">
        <f t="shared" si="24"/>
        <v>0</v>
      </c>
    </row>
    <row r="61" spans="1:50" ht="15" customHeight="1" x14ac:dyDescent="0.25">
      <c r="A61" t="s">
        <v>1334</v>
      </c>
      <c r="B61" s="120">
        <v>4187</v>
      </c>
      <c r="C61" s="1">
        <v>10444073.319999998</v>
      </c>
      <c r="D61" s="1">
        <v>0</v>
      </c>
      <c r="E61" s="1">
        <v>0</v>
      </c>
      <c r="F61" s="1">
        <v>0</v>
      </c>
      <c r="G61" s="1">
        <v>0</v>
      </c>
      <c r="H61" s="1">
        <v>0</v>
      </c>
      <c r="I61" s="152">
        <v>10444073.319999998</v>
      </c>
      <c r="J61" s="121">
        <v>0</v>
      </c>
      <c r="K61" s="121">
        <v>0</v>
      </c>
      <c r="L61" s="121">
        <v>0</v>
      </c>
      <c r="M61" s="657">
        <f>IF('Plant Total by Account'!$H$1=1,AB61,IF('Plant Total by Account'!$H$1=2,AI61,"Input Toggle"))</f>
        <v>10444073.32</v>
      </c>
      <c r="N61" s="657">
        <f>IF('Plant Total by Account'!$H$1=1,AC61,IF('Plant Total by Account'!$H$1=2,AJ61,"Input Toggle"))</f>
        <v>0</v>
      </c>
      <c r="O61" s="657">
        <f>IF('Plant Total by Account'!$H$1=1,AD61,IF('Plant Total by Account'!$H$1=2,AK61,"Input Toggle"))</f>
        <v>0</v>
      </c>
      <c r="P61" s="660">
        <f t="shared" si="13"/>
        <v>0</v>
      </c>
      <c r="Q61" s="657">
        <f t="shared" si="14"/>
        <v>0</v>
      </c>
      <c r="R61" s="657">
        <f t="shared" si="15"/>
        <v>0</v>
      </c>
      <c r="S61" s="657">
        <v>0</v>
      </c>
      <c r="T61" s="657">
        <v>0</v>
      </c>
      <c r="U61" s="657">
        <v>0</v>
      </c>
      <c r="V61" s="657">
        <f>IF('Plant Total by Account'!$H$1=1,AE61,IF('Plant Total by Account'!$H$1=2,AM61,"Input Toggle"))</f>
        <v>0</v>
      </c>
      <c r="W61" s="657">
        <f>IF('Plant Total by Account'!$H$1=1,AF61,IF('Plant Total by Account'!$H$1=2,AN61,"Input Toggle"))</f>
        <v>0</v>
      </c>
      <c r="X61" s="657">
        <f>IF('Plant Total by Account'!$H$1=1,AG61,IF('Plant Total by Account'!$H$1=2,AO61,"Input Toggle"))</f>
        <v>0</v>
      </c>
      <c r="Y61" s="657">
        <f t="shared" si="16"/>
        <v>0</v>
      </c>
      <c r="Z61" s="121">
        <f t="shared" si="17"/>
        <v>0</v>
      </c>
      <c r="AA61" s="121">
        <f t="shared" si="18"/>
        <v>0</v>
      </c>
      <c r="AB61" s="657">
        <f>SUMIF('ISO w_System Splits'!$D$8:$D$469,$B61,'ISO w_System Splits'!G$8:G$469)</f>
        <v>10444073.32</v>
      </c>
      <c r="AC61" s="657">
        <f>SUMIF('ISO w_System Splits'!$D$8:$D$469,$B61,'ISO w_System Splits'!H$8:H$469)</f>
        <v>0</v>
      </c>
      <c r="AD61" s="657">
        <f>SUMIF('ISO w_System Splits'!$D$8:$D$469,$B61,'ISO w_System Splits'!I$8:I$469)</f>
        <v>0</v>
      </c>
      <c r="AE61" s="657">
        <v>0</v>
      </c>
      <c r="AF61" s="657">
        <v>0</v>
      </c>
      <c r="AG61" s="657">
        <v>0</v>
      </c>
      <c r="AH61" s="130"/>
      <c r="AI61" s="657">
        <f>SUMIF('ISO w_System Splits'!$D$8:$D$615,$B61,'ISO w_System Splits'!G$8:G$615)-SUMIF('ISO w_System Splits'!$D$470:$D$520,$B61,'ISO w_System Splits'!G$470:G$520)</f>
        <v>10444073.32</v>
      </c>
      <c r="AJ61" s="657">
        <f>SUMIF('ISO w_System Splits'!$D$8:$D$615,$B61,'ISO w_System Splits'!H$8:H$615)-SUMIF('ISO w_System Splits'!$D$470:$D$520,$B61,'ISO w_System Splits'!H$470:H$520)</f>
        <v>0</v>
      </c>
      <c r="AK61" s="657">
        <f>SUMIF('ISO w_System Splits'!$D$8:$D$615,$B61,'ISO w_System Splits'!I$8:I$615)-SUMIF('ISO w_System Splits'!$D$470:$D$520,$B61,'ISO w_System Splits'!I$470:I$520)</f>
        <v>0</v>
      </c>
      <c r="AL61" s="130"/>
      <c r="AM61" s="657">
        <v>0</v>
      </c>
      <c r="AN61" s="657">
        <v>0</v>
      </c>
      <c r="AO61" s="657">
        <v>0</v>
      </c>
      <c r="AP61" s="130"/>
      <c r="AR61">
        <f t="shared" si="19"/>
        <v>0</v>
      </c>
      <c r="AS61">
        <f t="shared" si="20"/>
        <v>0</v>
      </c>
      <c r="AT61">
        <f t="shared" si="21"/>
        <v>0</v>
      </c>
      <c r="AV61">
        <f t="shared" si="22"/>
        <v>0</v>
      </c>
      <c r="AW61">
        <f t="shared" si="23"/>
        <v>0</v>
      </c>
      <c r="AX61">
        <f t="shared" si="24"/>
        <v>0</v>
      </c>
    </row>
    <row r="62" spans="1:50" ht="15" customHeight="1" x14ac:dyDescent="0.25">
      <c r="A62" t="s">
        <v>1004</v>
      </c>
      <c r="B62" s="120">
        <v>4188</v>
      </c>
      <c r="C62" s="1">
        <v>2855826.2300000004</v>
      </c>
      <c r="D62" s="1">
        <v>8043.41</v>
      </c>
      <c r="E62" s="1">
        <v>0</v>
      </c>
      <c r="F62" s="1">
        <v>0</v>
      </c>
      <c r="G62" s="1">
        <v>0</v>
      </c>
      <c r="H62" s="1">
        <v>0</v>
      </c>
      <c r="I62" s="152">
        <v>2863869.6400000006</v>
      </c>
      <c r="J62" s="121">
        <v>0</v>
      </c>
      <c r="K62" s="121">
        <v>0</v>
      </c>
      <c r="L62" s="121">
        <v>0</v>
      </c>
      <c r="M62" s="657">
        <f>IF('Plant Total by Account'!$H$1=1,AB62,IF('Plant Total by Account'!$H$1=2,AI62,"Input Toggle"))</f>
        <v>2858639.23</v>
      </c>
      <c r="N62" s="657">
        <f>IF('Plant Total by Account'!$H$1=1,AC62,IF('Plant Total by Account'!$H$1=2,AJ62,"Input Toggle"))</f>
        <v>8043.4099999999989</v>
      </c>
      <c r="O62" s="657">
        <f>IF('Plant Total by Account'!$H$1=1,AD62,IF('Plant Total by Account'!$H$1=2,AK62,"Input Toggle"))</f>
        <v>0</v>
      </c>
      <c r="P62" s="660">
        <f t="shared" si="13"/>
        <v>-2812.9999999995343</v>
      </c>
      <c r="Q62" s="657">
        <f t="shared" si="14"/>
        <v>9.0949470177292824E-13</v>
      </c>
      <c r="R62" s="657">
        <f t="shared" si="15"/>
        <v>0</v>
      </c>
      <c r="S62" s="657">
        <v>0</v>
      </c>
      <c r="T62" s="657">
        <v>0</v>
      </c>
      <c r="U62" s="657">
        <v>0</v>
      </c>
      <c r="V62" s="657">
        <f>IF('Plant Total by Account'!$H$1=1,AE62,IF('Plant Total by Account'!$H$1=2,AM62,"Input Toggle"))</f>
        <v>0</v>
      </c>
      <c r="W62" s="657">
        <f>IF('Plant Total by Account'!$H$1=1,AF62,IF('Plant Total by Account'!$H$1=2,AN62,"Input Toggle"))</f>
        <v>0</v>
      </c>
      <c r="X62" s="657">
        <f>IF('Plant Total by Account'!$H$1=1,AG62,IF('Plant Total by Account'!$H$1=2,AO62,"Input Toggle"))</f>
        <v>0</v>
      </c>
      <c r="Y62" s="657">
        <f t="shared" si="16"/>
        <v>0</v>
      </c>
      <c r="Z62" s="121">
        <f t="shared" si="17"/>
        <v>0</v>
      </c>
      <c r="AA62" s="121">
        <f t="shared" si="18"/>
        <v>0</v>
      </c>
      <c r="AB62" s="657">
        <f>SUMIF('ISO w_System Splits'!$D$8:$D$469,$B62,'ISO w_System Splits'!G$8:G$469)</f>
        <v>2858639.23</v>
      </c>
      <c r="AC62" s="657">
        <f>SUMIF('ISO w_System Splits'!$D$8:$D$469,$B62,'ISO w_System Splits'!H$8:H$469)</f>
        <v>8043.4099999999989</v>
      </c>
      <c r="AD62" s="657">
        <f>SUMIF('ISO w_System Splits'!$D$8:$D$469,$B62,'ISO w_System Splits'!I$8:I$469)</f>
        <v>0</v>
      </c>
      <c r="AE62" s="657">
        <v>0</v>
      </c>
      <c r="AF62" s="657">
        <v>0</v>
      </c>
      <c r="AG62" s="657">
        <v>0</v>
      </c>
      <c r="AH62" s="130"/>
      <c r="AI62" s="657">
        <f>SUMIF('ISO w_System Splits'!$D$8:$D$615,$B62,'ISO w_System Splits'!G$8:G$615)-SUMIF('ISO w_System Splits'!$D$470:$D$520,$B62,'ISO w_System Splits'!G$470:G$520)</f>
        <v>2858639.23</v>
      </c>
      <c r="AJ62" s="657">
        <f>SUMIF('ISO w_System Splits'!$D$8:$D$615,$B62,'ISO w_System Splits'!H$8:H$615)-SUMIF('ISO w_System Splits'!$D$470:$D$520,$B62,'ISO w_System Splits'!H$470:H$520)</f>
        <v>8043.4099999999989</v>
      </c>
      <c r="AK62" s="657">
        <f>SUMIF('ISO w_System Splits'!$D$8:$D$615,$B62,'ISO w_System Splits'!I$8:I$615)-SUMIF('ISO w_System Splits'!$D$470:$D$520,$B62,'ISO w_System Splits'!I$470:I$520)</f>
        <v>0</v>
      </c>
      <c r="AL62" s="130"/>
      <c r="AM62" s="657">
        <v>0</v>
      </c>
      <c r="AN62" s="657">
        <v>0</v>
      </c>
      <c r="AO62" s="657">
        <v>0</v>
      </c>
      <c r="AP62" s="130"/>
      <c r="AR62">
        <f t="shared" si="19"/>
        <v>0</v>
      </c>
      <c r="AS62">
        <f t="shared" si="20"/>
        <v>0</v>
      </c>
      <c r="AT62">
        <f t="shared" si="21"/>
        <v>0</v>
      </c>
      <c r="AV62">
        <f t="shared" si="22"/>
        <v>0</v>
      </c>
      <c r="AW62">
        <f t="shared" si="23"/>
        <v>0</v>
      </c>
      <c r="AX62">
        <f t="shared" si="24"/>
        <v>0</v>
      </c>
    </row>
    <row r="63" spans="1:50" ht="15" customHeight="1" x14ac:dyDescent="0.25">
      <c r="A63" t="s">
        <v>1335</v>
      </c>
      <c r="B63" s="120">
        <v>4189</v>
      </c>
      <c r="C63" s="1">
        <v>78247.819999999992</v>
      </c>
      <c r="D63" s="1">
        <v>0</v>
      </c>
      <c r="E63" s="1">
        <v>0</v>
      </c>
      <c r="F63" s="1">
        <v>0</v>
      </c>
      <c r="G63" s="1">
        <v>0</v>
      </c>
      <c r="H63" s="1">
        <v>0</v>
      </c>
      <c r="I63" s="152">
        <v>78247.819999999992</v>
      </c>
      <c r="J63" s="121">
        <v>0</v>
      </c>
      <c r="K63" s="121">
        <v>0</v>
      </c>
      <c r="L63" s="121">
        <v>0</v>
      </c>
      <c r="M63" s="657">
        <f>IF('Plant Total by Account'!$H$1=1,AB63,IF('Plant Total by Account'!$H$1=2,AI63,"Input Toggle"))</f>
        <v>78247.820000000007</v>
      </c>
      <c r="N63" s="657">
        <f>IF('Plant Total by Account'!$H$1=1,AC63,IF('Plant Total by Account'!$H$1=2,AJ63,"Input Toggle"))</f>
        <v>0</v>
      </c>
      <c r="O63" s="657">
        <f>IF('Plant Total by Account'!$H$1=1,AD63,IF('Plant Total by Account'!$H$1=2,AK63,"Input Toggle"))</f>
        <v>0</v>
      </c>
      <c r="P63" s="657">
        <f t="shared" si="13"/>
        <v>0</v>
      </c>
      <c r="Q63" s="657">
        <f t="shared" si="14"/>
        <v>0</v>
      </c>
      <c r="R63" s="657">
        <f t="shared" si="15"/>
        <v>0</v>
      </c>
      <c r="S63" s="657">
        <v>0</v>
      </c>
      <c r="T63" s="657">
        <v>0</v>
      </c>
      <c r="U63" s="657">
        <v>0</v>
      </c>
      <c r="V63" s="657">
        <f>IF('Plant Total by Account'!$H$1=1,AE63,IF('Plant Total by Account'!$H$1=2,AM63,"Input Toggle"))</f>
        <v>0</v>
      </c>
      <c r="W63" s="657">
        <f>IF('Plant Total by Account'!$H$1=1,AF63,IF('Plant Total by Account'!$H$1=2,AN63,"Input Toggle"))</f>
        <v>0</v>
      </c>
      <c r="X63" s="657">
        <f>IF('Plant Total by Account'!$H$1=1,AG63,IF('Plant Total by Account'!$H$1=2,AO63,"Input Toggle"))</f>
        <v>0</v>
      </c>
      <c r="Y63" s="657">
        <f t="shared" si="16"/>
        <v>0</v>
      </c>
      <c r="Z63" s="121">
        <f t="shared" si="17"/>
        <v>0</v>
      </c>
      <c r="AA63" s="121">
        <f t="shared" si="18"/>
        <v>0</v>
      </c>
      <c r="AB63" s="657">
        <f>SUMIF('ISO w_System Splits'!$D$8:$D$469,$B63,'ISO w_System Splits'!G$8:G$469)</f>
        <v>78247.820000000007</v>
      </c>
      <c r="AC63" s="657">
        <f>SUMIF('ISO w_System Splits'!$D$8:$D$469,$B63,'ISO w_System Splits'!H$8:H$469)</f>
        <v>0</v>
      </c>
      <c r="AD63" s="657">
        <f>SUMIF('ISO w_System Splits'!$D$8:$D$469,$B63,'ISO w_System Splits'!I$8:I$469)</f>
        <v>0</v>
      </c>
      <c r="AE63" s="657">
        <v>0</v>
      </c>
      <c r="AF63" s="657">
        <v>0</v>
      </c>
      <c r="AG63" s="657">
        <v>0</v>
      </c>
      <c r="AH63" s="130"/>
      <c r="AI63" s="657">
        <f>SUMIF('ISO w_System Splits'!$D$8:$D$615,$B63,'ISO w_System Splits'!G$8:G$615)-SUMIF('ISO w_System Splits'!$D$470:$D$520,$B63,'ISO w_System Splits'!G$470:G$520)</f>
        <v>78247.820000000007</v>
      </c>
      <c r="AJ63" s="657">
        <f>SUMIF('ISO w_System Splits'!$D$8:$D$615,$B63,'ISO w_System Splits'!H$8:H$615)-SUMIF('ISO w_System Splits'!$D$470:$D$520,$B63,'ISO w_System Splits'!H$470:H$520)</f>
        <v>0</v>
      </c>
      <c r="AK63" s="657">
        <f>SUMIF('ISO w_System Splits'!$D$8:$D$615,$B63,'ISO w_System Splits'!I$8:I$615)-SUMIF('ISO w_System Splits'!$D$470:$D$520,$B63,'ISO w_System Splits'!I$470:I$520)</f>
        <v>0</v>
      </c>
      <c r="AL63" s="130"/>
      <c r="AM63" s="657">
        <v>0</v>
      </c>
      <c r="AN63" s="657">
        <v>0</v>
      </c>
      <c r="AO63" s="657">
        <v>0</v>
      </c>
      <c r="AP63" s="130"/>
      <c r="AR63">
        <f t="shared" si="19"/>
        <v>0</v>
      </c>
      <c r="AS63">
        <f t="shared" si="20"/>
        <v>0</v>
      </c>
      <c r="AT63">
        <f t="shared" si="21"/>
        <v>0</v>
      </c>
      <c r="AV63">
        <f t="shared" si="22"/>
        <v>0</v>
      </c>
      <c r="AW63">
        <f t="shared" si="23"/>
        <v>0</v>
      </c>
      <c r="AX63">
        <f t="shared" si="24"/>
        <v>0</v>
      </c>
    </row>
    <row r="64" spans="1:50" ht="15" customHeight="1" x14ac:dyDescent="0.25">
      <c r="A64" t="s">
        <v>1450</v>
      </c>
      <c r="B64" s="120">
        <v>4200</v>
      </c>
      <c r="C64" s="1">
        <v>0</v>
      </c>
      <c r="D64" s="1">
        <v>465309.77000000008</v>
      </c>
      <c r="E64" s="1">
        <v>0</v>
      </c>
      <c r="F64" s="1">
        <v>0</v>
      </c>
      <c r="G64" s="1">
        <v>0</v>
      </c>
      <c r="H64" s="1">
        <v>0</v>
      </c>
      <c r="I64" s="152">
        <v>465309.77000000008</v>
      </c>
      <c r="J64" s="121">
        <v>0</v>
      </c>
      <c r="K64" s="121">
        <v>0</v>
      </c>
      <c r="L64" s="121">
        <v>0</v>
      </c>
      <c r="M64" s="657">
        <f>IF('Plant Total by Account'!$H$1=1,AB64,IF('Plant Total by Account'!$H$1=2,AI64,"Input Toggle"))</f>
        <v>0</v>
      </c>
      <c r="N64" s="657">
        <f>IF('Plant Total by Account'!$H$1=1,AC64,IF('Plant Total by Account'!$H$1=2,AJ64,"Input Toggle"))</f>
        <v>0</v>
      </c>
      <c r="O64" s="657">
        <f>IF('Plant Total by Account'!$H$1=1,AD64,IF('Plant Total by Account'!$H$1=2,AK64,"Input Toggle"))</f>
        <v>0</v>
      </c>
      <c r="P64" s="657">
        <f t="shared" si="13"/>
        <v>0</v>
      </c>
      <c r="Q64" s="657">
        <f t="shared" si="14"/>
        <v>465309.77000000008</v>
      </c>
      <c r="R64" s="657">
        <f t="shared" si="15"/>
        <v>0</v>
      </c>
      <c r="S64" s="657">
        <v>0</v>
      </c>
      <c r="T64" s="657">
        <v>0</v>
      </c>
      <c r="U64" s="657">
        <v>0</v>
      </c>
      <c r="V64" s="657">
        <f>IF('Plant Total by Account'!$H$1=1,AE64,IF('Plant Total by Account'!$H$1=2,AM64,"Input Toggle"))</f>
        <v>0</v>
      </c>
      <c r="W64" s="657">
        <f>IF('Plant Total by Account'!$H$1=1,AF64,IF('Plant Total by Account'!$H$1=2,AN64,"Input Toggle"))</f>
        <v>0</v>
      </c>
      <c r="X64" s="657">
        <f>IF('Plant Total by Account'!$H$1=1,AG64,IF('Plant Total by Account'!$H$1=2,AO64,"Input Toggle"))</f>
        <v>0</v>
      </c>
      <c r="Y64" s="657">
        <f t="shared" si="16"/>
        <v>0</v>
      </c>
      <c r="Z64" s="121">
        <f t="shared" si="17"/>
        <v>0</v>
      </c>
      <c r="AA64" s="121">
        <f t="shared" si="18"/>
        <v>0</v>
      </c>
      <c r="AB64" s="657">
        <f>SUMIF('ISO w_System Splits'!$D$8:$D$469,$B64,'ISO w_System Splits'!G$8:G$469)</f>
        <v>0</v>
      </c>
      <c r="AC64" s="657">
        <f>SUMIF('ISO w_System Splits'!$D$8:$D$469,$B64,'ISO w_System Splits'!H$8:H$469)</f>
        <v>0</v>
      </c>
      <c r="AD64" s="657">
        <f>SUMIF('ISO w_System Splits'!$D$8:$D$469,$B64,'ISO w_System Splits'!I$8:I$469)</f>
        <v>0</v>
      </c>
      <c r="AE64" s="657">
        <v>0</v>
      </c>
      <c r="AF64" s="657">
        <v>0</v>
      </c>
      <c r="AG64" s="657">
        <v>0</v>
      </c>
      <c r="AH64" s="130"/>
      <c r="AI64" s="657">
        <f>SUMIF('ISO w_System Splits'!$D$8:$D$615,$B64,'ISO w_System Splits'!G$8:G$615)-SUMIF('ISO w_System Splits'!$D$470:$D$520,$B64,'ISO w_System Splits'!G$470:G$520)</f>
        <v>0</v>
      </c>
      <c r="AJ64" s="657">
        <f>SUMIF('ISO w_System Splits'!$D$8:$D$615,$B64,'ISO w_System Splits'!H$8:H$615)-SUMIF('ISO w_System Splits'!$D$470:$D$520,$B64,'ISO w_System Splits'!H$470:H$520)</f>
        <v>0</v>
      </c>
      <c r="AK64" s="657">
        <f>SUMIF('ISO w_System Splits'!$D$8:$D$615,$B64,'ISO w_System Splits'!I$8:I$615)-SUMIF('ISO w_System Splits'!$D$470:$D$520,$B64,'ISO w_System Splits'!I$470:I$520)</f>
        <v>0</v>
      </c>
      <c r="AL64" s="130"/>
      <c r="AM64" s="657">
        <v>0</v>
      </c>
      <c r="AN64" s="657">
        <v>0</v>
      </c>
      <c r="AO64" s="657">
        <v>0</v>
      </c>
      <c r="AP64" s="130"/>
      <c r="AR64">
        <f t="shared" si="19"/>
        <v>0</v>
      </c>
      <c r="AS64">
        <f t="shared" si="20"/>
        <v>0</v>
      </c>
      <c r="AT64">
        <f t="shared" si="21"/>
        <v>0</v>
      </c>
      <c r="AV64">
        <f t="shared" si="22"/>
        <v>0</v>
      </c>
      <c r="AW64">
        <f t="shared" si="23"/>
        <v>0</v>
      </c>
      <c r="AX64">
        <f t="shared" si="24"/>
        <v>0</v>
      </c>
    </row>
    <row r="65" spans="1:50" ht="15" customHeight="1" x14ac:dyDescent="0.25">
      <c r="A65" t="s">
        <v>1451</v>
      </c>
      <c r="B65" s="120">
        <v>4207</v>
      </c>
      <c r="C65" s="1">
        <v>0</v>
      </c>
      <c r="D65" s="1">
        <v>25798.080000000002</v>
      </c>
      <c r="E65" s="1">
        <v>0</v>
      </c>
      <c r="F65" s="1">
        <v>0</v>
      </c>
      <c r="G65" s="1">
        <v>0</v>
      </c>
      <c r="H65" s="1">
        <v>0</v>
      </c>
      <c r="I65" s="152">
        <v>25798.080000000002</v>
      </c>
      <c r="J65" s="121">
        <v>0</v>
      </c>
      <c r="K65" s="121">
        <v>0</v>
      </c>
      <c r="L65" s="121">
        <v>0</v>
      </c>
      <c r="M65" s="657">
        <f>IF('Plant Total by Account'!$H$1=1,AB65,IF('Plant Total by Account'!$H$1=2,AI65,"Input Toggle"))</f>
        <v>0</v>
      </c>
      <c r="N65" s="657">
        <f>IF('Plant Total by Account'!$H$1=1,AC65,IF('Plant Total by Account'!$H$1=2,AJ65,"Input Toggle"))</f>
        <v>0</v>
      </c>
      <c r="O65" s="657">
        <f>IF('Plant Total by Account'!$H$1=1,AD65,IF('Plant Total by Account'!$H$1=2,AK65,"Input Toggle"))</f>
        <v>0</v>
      </c>
      <c r="P65" s="657">
        <f t="shared" si="13"/>
        <v>0</v>
      </c>
      <c r="Q65" s="657">
        <f t="shared" si="14"/>
        <v>25798.080000000002</v>
      </c>
      <c r="R65" s="657">
        <f t="shared" si="15"/>
        <v>0</v>
      </c>
      <c r="S65" s="657">
        <v>0</v>
      </c>
      <c r="T65" s="657">
        <v>0</v>
      </c>
      <c r="U65" s="657">
        <v>0</v>
      </c>
      <c r="V65" s="657">
        <f>IF('Plant Total by Account'!$H$1=1,AE65,IF('Plant Total by Account'!$H$1=2,AM65,"Input Toggle"))</f>
        <v>0</v>
      </c>
      <c r="W65" s="657">
        <f>IF('Plant Total by Account'!$H$1=1,AF65,IF('Plant Total by Account'!$H$1=2,AN65,"Input Toggle"))</f>
        <v>0</v>
      </c>
      <c r="X65" s="657">
        <f>IF('Plant Total by Account'!$H$1=1,AG65,IF('Plant Total by Account'!$H$1=2,AO65,"Input Toggle"))</f>
        <v>0</v>
      </c>
      <c r="Y65" s="657">
        <f t="shared" si="16"/>
        <v>0</v>
      </c>
      <c r="Z65" s="121">
        <f t="shared" si="17"/>
        <v>0</v>
      </c>
      <c r="AA65" s="121">
        <f t="shared" si="18"/>
        <v>0</v>
      </c>
      <c r="AB65" s="657">
        <f>SUMIF('ISO w_System Splits'!$D$8:$D$469,$B65,'ISO w_System Splits'!G$8:G$469)</f>
        <v>0</v>
      </c>
      <c r="AC65" s="657">
        <f>SUMIF('ISO w_System Splits'!$D$8:$D$469,$B65,'ISO w_System Splits'!H$8:H$469)</f>
        <v>0</v>
      </c>
      <c r="AD65" s="657">
        <f>SUMIF('ISO w_System Splits'!$D$8:$D$469,$B65,'ISO w_System Splits'!I$8:I$469)</f>
        <v>0</v>
      </c>
      <c r="AE65" s="657">
        <v>0</v>
      </c>
      <c r="AF65" s="657">
        <v>0</v>
      </c>
      <c r="AG65" s="657">
        <v>0</v>
      </c>
      <c r="AH65" s="130"/>
      <c r="AI65" s="657">
        <f>SUMIF('ISO w_System Splits'!$D$8:$D$615,$B65,'ISO w_System Splits'!G$8:G$615)-SUMIF('ISO w_System Splits'!$D$470:$D$520,$B65,'ISO w_System Splits'!G$470:G$520)</f>
        <v>0</v>
      </c>
      <c r="AJ65" s="657">
        <f>SUMIF('ISO w_System Splits'!$D$8:$D$615,$B65,'ISO w_System Splits'!H$8:H$615)-SUMIF('ISO w_System Splits'!$D$470:$D$520,$B65,'ISO w_System Splits'!H$470:H$520)</f>
        <v>0</v>
      </c>
      <c r="AK65" s="657">
        <f>SUMIF('ISO w_System Splits'!$D$8:$D$615,$B65,'ISO w_System Splits'!I$8:I$615)-SUMIF('ISO w_System Splits'!$D$470:$D$520,$B65,'ISO w_System Splits'!I$470:I$520)</f>
        <v>0</v>
      </c>
      <c r="AL65" s="130"/>
      <c r="AM65" s="657">
        <v>0</v>
      </c>
      <c r="AN65" s="657">
        <v>0</v>
      </c>
      <c r="AO65" s="657">
        <v>0</v>
      </c>
      <c r="AP65" s="130"/>
      <c r="AR65">
        <f t="shared" si="19"/>
        <v>0</v>
      </c>
      <c r="AS65">
        <f t="shared" si="20"/>
        <v>0</v>
      </c>
      <c r="AT65">
        <f t="shared" si="21"/>
        <v>0</v>
      </c>
      <c r="AV65">
        <f t="shared" si="22"/>
        <v>0</v>
      </c>
      <c r="AW65">
        <f t="shared" si="23"/>
        <v>0</v>
      </c>
      <c r="AX65">
        <f t="shared" si="24"/>
        <v>0</v>
      </c>
    </row>
    <row r="66" spans="1:50" ht="15" customHeight="1" x14ac:dyDescent="0.25">
      <c r="A66" t="s">
        <v>1777</v>
      </c>
      <c r="B66" s="120" t="s">
        <v>1104</v>
      </c>
      <c r="C66" s="1">
        <v>0</v>
      </c>
      <c r="D66" s="1">
        <v>23141.5</v>
      </c>
      <c r="E66" s="1">
        <v>0</v>
      </c>
      <c r="F66" s="1">
        <v>0</v>
      </c>
      <c r="G66" s="1">
        <v>0</v>
      </c>
      <c r="H66" s="1">
        <v>0</v>
      </c>
      <c r="I66" s="152">
        <v>23141.5</v>
      </c>
      <c r="J66" s="121">
        <v>0</v>
      </c>
      <c r="K66" s="121">
        <v>0</v>
      </c>
      <c r="L66" s="121">
        <v>0</v>
      </c>
      <c r="M66" s="657">
        <f>IF('Plant Total by Account'!$H$1=1,AB66,IF('Plant Total by Account'!$H$1=2,AI66,"Input Toggle"))</f>
        <v>0</v>
      </c>
      <c r="N66" s="657">
        <f>IF('Plant Total by Account'!$H$1=1,AC66,IF('Plant Total by Account'!$H$1=2,AJ66,"Input Toggle"))</f>
        <v>0</v>
      </c>
      <c r="O66" s="657">
        <f>IF('Plant Total by Account'!$H$1=1,AD66,IF('Plant Total by Account'!$H$1=2,AK66,"Input Toggle"))</f>
        <v>0</v>
      </c>
      <c r="P66" s="657">
        <f t="shared" si="13"/>
        <v>0</v>
      </c>
      <c r="Q66" s="657">
        <f t="shared" si="14"/>
        <v>23141.5</v>
      </c>
      <c r="R66" s="657">
        <f t="shared" si="15"/>
        <v>0</v>
      </c>
      <c r="S66" s="657">
        <v>0</v>
      </c>
      <c r="T66" s="657">
        <v>0</v>
      </c>
      <c r="U66" s="657">
        <v>0</v>
      </c>
      <c r="V66" s="657">
        <f>IF('Plant Total by Account'!$H$1=1,AE66,IF('Plant Total by Account'!$H$1=2,AM66,"Input Toggle"))</f>
        <v>0</v>
      </c>
      <c r="W66" s="657">
        <f>IF('Plant Total by Account'!$H$1=1,AF66,IF('Plant Total by Account'!$H$1=2,AN66,"Input Toggle"))</f>
        <v>0</v>
      </c>
      <c r="X66" s="657">
        <f>IF('Plant Total by Account'!$H$1=1,AG66,IF('Plant Total by Account'!$H$1=2,AO66,"Input Toggle"))</f>
        <v>0</v>
      </c>
      <c r="Y66" s="657">
        <f t="shared" si="16"/>
        <v>0</v>
      </c>
      <c r="Z66" s="121">
        <f t="shared" si="17"/>
        <v>0</v>
      </c>
      <c r="AA66" s="121">
        <f t="shared" si="18"/>
        <v>0</v>
      </c>
      <c r="AB66" s="657">
        <f>SUMIF('ISO w_System Splits'!$D$8:$D$469,$B66,'ISO w_System Splits'!G$8:G$469)</f>
        <v>0</v>
      </c>
      <c r="AC66" s="657">
        <f>SUMIF('ISO w_System Splits'!$D$8:$D$469,$B66,'ISO w_System Splits'!H$8:H$469)</f>
        <v>0</v>
      </c>
      <c r="AD66" s="657">
        <f>SUMIF('ISO w_System Splits'!$D$8:$D$469,$B66,'ISO w_System Splits'!I$8:I$469)</f>
        <v>0</v>
      </c>
      <c r="AE66" s="657">
        <v>0</v>
      </c>
      <c r="AF66" s="657">
        <v>0</v>
      </c>
      <c r="AG66" s="657">
        <v>0</v>
      </c>
      <c r="AH66" s="130"/>
      <c r="AI66" s="657">
        <f>SUMIF('ISO w_System Splits'!$D$8:$D$615,$B66,'ISO w_System Splits'!G$8:G$615)-SUMIF('ISO w_System Splits'!$D$470:$D$520,$B66,'ISO w_System Splits'!G$470:G$520)</f>
        <v>0</v>
      </c>
      <c r="AJ66" s="657">
        <f>SUMIF('ISO w_System Splits'!$D$8:$D$615,$B66,'ISO w_System Splits'!H$8:H$615)-SUMIF('ISO w_System Splits'!$D$470:$D$520,$B66,'ISO w_System Splits'!H$470:H$520)</f>
        <v>0</v>
      </c>
      <c r="AK66" s="657">
        <f>SUMIF('ISO w_System Splits'!$D$8:$D$615,$B66,'ISO w_System Splits'!I$8:I$615)-SUMIF('ISO w_System Splits'!$D$470:$D$520,$B66,'ISO w_System Splits'!I$470:I$520)</f>
        <v>0</v>
      </c>
      <c r="AL66" s="130"/>
      <c r="AM66" s="657">
        <v>0</v>
      </c>
      <c r="AN66" s="657">
        <v>0</v>
      </c>
      <c r="AO66" s="657">
        <v>0</v>
      </c>
      <c r="AP66" s="130"/>
      <c r="AR66">
        <f t="shared" si="19"/>
        <v>0</v>
      </c>
      <c r="AS66">
        <f t="shared" si="20"/>
        <v>0</v>
      </c>
      <c r="AT66">
        <f t="shared" si="21"/>
        <v>0</v>
      </c>
      <c r="AV66">
        <f t="shared" si="22"/>
        <v>0</v>
      </c>
      <c r="AW66">
        <f t="shared" si="23"/>
        <v>0</v>
      </c>
      <c r="AX66">
        <f t="shared" si="24"/>
        <v>0</v>
      </c>
    </row>
    <row r="67" spans="1:50" ht="15" customHeight="1" x14ac:dyDescent="0.25">
      <c r="A67" t="s">
        <v>1452</v>
      </c>
      <c r="B67" s="120">
        <v>4314</v>
      </c>
      <c r="C67" s="1">
        <v>0</v>
      </c>
      <c r="D67" s="1">
        <v>5448.7300000000005</v>
      </c>
      <c r="E67" s="1">
        <v>0</v>
      </c>
      <c r="F67" s="1">
        <v>0</v>
      </c>
      <c r="G67" s="1">
        <v>0</v>
      </c>
      <c r="H67" s="1">
        <v>0</v>
      </c>
      <c r="I67" s="152">
        <v>5448.7300000000005</v>
      </c>
      <c r="J67" s="121">
        <v>0</v>
      </c>
      <c r="K67" s="121">
        <v>0</v>
      </c>
      <c r="L67" s="121">
        <v>0</v>
      </c>
      <c r="M67" s="657">
        <f>IF('Plant Total by Account'!$H$1=1,AB67,IF('Plant Total by Account'!$H$1=2,AI67,"Input Toggle"))</f>
        <v>0</v>
      </c>
      <c r="N67" s="657">
        <f>IF('Plant Total by Account'!$H$1=1,AC67,IF('Plant Total by Account'!$H$1=2,AJ67,"Input Toggle"))</f>
        <v>0</v>
      </c>
      <c r="O67" s="657">
        <f>IF('Plant Total by Account'!$H$1=1,AD67,IF('Plant Total by Account'!$H$1=2,AK67,"Input Toggle"))</f>
        <v>0</v>
      </c>
      <c r="P67" s="657">
        <f t="shared" si="13"/>
        <v>0</v>
      </c>
      <c r="Q67" s="657">
        <f t="shared" si="14"/>
        <v>5448.7300000000005</v>
      </c>
      <c r="R67" s="657">
        <f t="shared" si="15"/>
        <v>0</v>
      </c>
      <c r="S67" s="657">
        <v>0</v>
      </c>
      <c r="T67" s="657">
        <v>0</v>
      </c>
      <c r="U67" s="657">
        <v>0</v>
      </c>
      <c r="V67" s="657">
        <f>IF('Plant Total by Account'!$H$1=1,AE67,IF('Plant Total by Account'!$H$1=2,AM67,"Input Toggle"))</f>
        <v>0</v>
      </c>
      <c r="W67" s="657">
        <f>IF('Plant Total by Account'!$H$1=1,AF67,IF('Plant Total by Account'!$H$1=2,AN67,"Input Toggle"))</f>
        <v>0</v>
      </c>
      <c r="X67" s="657">
        <f>IF('Plant Total by Account'!$H$1=1,AG67,IF('Plant Total by Account'!$H$1=2,AO67,"Input Toggle"))</f>
        <v>0</v>
      </c>
      <c r="Y67" s="657">
        <f t="shared" si="16"/>
        <v>0</v>
      </c>
      <c r="Z67" s="121">
        <f t="shared" si="17"/>
        <v>0</v>
      </c>
      <c r="AA67" s="121">
        <f t="shared" si="18"/>
        <v>0</v>
      </c>
      <c r="AB67" s="657">
        <f>SUMIF('ISO w_System Splits'!$D$8:$D$469,$B67,'ISO w_System Splits'!G$8:G$469)</f>
        <v>0</v>
      </c>
      <c r="AC67" s="657">
        <f>SUMIF('ISO w_System Splits'!$D$8:$D$469,$B67,'ISO w_System Splits'!H$8:H$469)</f>
        <v>0</v>
      </c>
      <c r="AD67" s="657">
        <f>SUMIF('ISO w_System Splits'!$D$8:$D$469,$B67,'ISO w_System Splits'!I$8:I$469)</f>
        <v>0</v>
      </c>
      <c r="AE67" s="657">
        <v>0</v>
      </c>
      <c r="AF67" s="657">
        <v>0</v>
      </c>
      <c r="AG67" s="657">
        <v>0</v>
      </c>
      <c r="AH67" s="130"/>
      <c r="AI67" s="657">
        <f>SUMIF('ISO w_System Splits'!$D$8:$D$615,$B67,'ISO w_System Splits'!G$8:G$615)-SUMIF('ISO w_System Splits'!$D$470:$D$520,$B67,'ISO w_System Splits'!G$470:G$520)</f>
        <v>0</v>
      </c>
      <c r="AJ67" s="657">
        <f>SUMIF('ISO w_System Splits'!$D$8:$D$615,$B67,'ISO w_System Splits'!H$8:H$615)-SUMIF('ISO w_System Splits'!$D$470:$D$520,$B67,'ISO w_System Splits'!H$470:H$520)</f>
        <v>0</v>
      </c>
      <c r="AK67" s="657">
        <f>SUMIF('ISO w_System Splits'!$D$8:$D$615,$B67,'ISO w_System Splits'!I$8:I$615)-SUMIF('ISO w_System Splits'!$D$470:$D$520,$B67,'ISO w_System Splits'!I$470:I$520)</f>
        <v>0</v>
      </c>
      <c r="AL67" s="130"/>
      <c r="AM67" s="657">
        <v>0</v>
      </c>
      <c r="AN67" s="657">
        <v>0</v>
      </c>
      <c r="AO67" s="657">
        <v>0</v>
      </c>
      <c r="AP67" s="130"/>
      <c r="AR67">
        <f t="shared" si="19"/>
        <v>0</v>
      </c>
      <c r="AS67">
        <f t="shared" si="20"/>
        <v>0</v>
      </c>
      <c r="AT67">
        <f t="shared" si="21"/>
        <v>0</v>
      </c>
      <c r="AV67">
        <f t="shared" si="22"/>
        <v>0</v>
      </c>
      <c r="AW67">
        <f t="shared" si="23"/>
        <v>0</v>
      </c>
      <c r="AX67">
        <f t="shared" si="24"/>
        <v>0</v>
      </c>
    </row>
    <row r="68" spans="1:50" ht="15" customHeight="1" x14ac:dyDescent="0.25">
      <c r="A68" t="s">
        <v>521</v>
      </c>
      <c r="B68" s="120">
        <v>4319</v>
      </c>
      <c r="C68" s="1">
        <v>0</v>
      </c>
      <c r="D68" s="1">
        <v>0</v>
      </c>
      <c r="E68" s="1">
        <v>0</v>
      </c>
      <c r="F68" s="1">
        <v>0</v>
      </c>
      <c r="G68" s="1">
        <v>0</v>
      </c>
      <c r="H68" s="1">
        <v>0</v>
      </c>
      <c r="I68" s="152">
        <v>0</v>
      </c>
      <c r="J68" s="121">
        <v>0</v>
      </c>
      <c r="K68" s="121">
        <v>0</v>
      </c>
      <c r="L68" s="121">
        <v>0</v>
      </c>
      <c r="M68" s="657">
        <f>IF('Plant Total by Account'!$H$1=1,AB68,IF('Plant Total by Account'!$H$1=2,AI68,"Input Toggle"))</f>
        <v>0</v>
      </c>
      <c r="N68" s="657">
        <f>IF('Plant Total by Account'!$H$1=1,AC68,IF('Plant Total by Account'!$H$1=2,AJ68,"Input Toggle"))</f>
        <v>0</v>
      </c>
      <c r="O68" s="657">
        <f>IF('Plant Total by Account'!$H$1=1,AD68,IF('Plant Total by Account'!$H$1=2,AK68,"Input Toggle"))</f>
        <v>0</v>
      </c>
      <c r="P68" s="657">
        <f t="shared" si="13"/>
        <v>0</v>
      </c>
      <c r="Q68" s="657">
        <f t="shared" si="14"/>
        <v>0</v>
      </c>
      <c r="R68" s="657">
        <f t="shared" si="15"/>
        <v>0</v>
      </c>
      <c r="S68" s="657">
        <v>0</v>
      </c>
      <c r="T68" s="657">
        <v>0</v>
      </c>
      <c r="U68" s="657">
        <v>0</v>
      </c>
      <c r="V68" s="657">
        <f>IF('Plant Total by Account'!$H$1=1,AE68,IF('Plant Total by Account'!$H$1=2,AM68,"Input Toggle"))</f>
        <v>0</v>
      </c>
      <c r="W68" s="657">
        <f>IF('Plant Total by Account'!$H$1=1,AF68,IF('Plant Total by Account'!$H$1=2,AN68,"Input Toggle"))</f>
        <v>0</v>
      </c>
      <c r="X68" s="657">
        <f>IF('Plant Total by Account'!$H$1=1,AG68,IF('Plant Total by Account'!$H$1=2,AO68,"Input Toggle"))</f>
        <v>0</v>
      </c>
      <c r="Y68" s="657">
        <f t="shared" si="16"/>
        <v>0</v>
      </c>
      <c r="Z68" s="121">
        <f t="shared" si="17"/>
        <v>0</v>
      </c>
      <c r="AA68" s="121">
        <f t="shared" si="18"/>
        <v>0</v>
      </c>
      <c r="AB68" s="657">
        <f>SUMIF('ISO w_System Splits'!$D$8:$D$469,$B68,'ISO w_System Splits'!G$8:G$469)</f>
        <v>0</v>
      </c>
      <c r="AC68" s="657">
        <f>SUMIF('ISO w_System Splits'!$D$8:$D$469,$B68,'ISO w_System Splits'!H$8:H$469)</f>
        <v>0</v>
      </c>
      <c r="AD68" s="657">
        <f>SUMIF('ISO w_System Splits'!$D$8:$D$469,$B68,'ISO w_System Splits'!I$8:I$469)</f>
        <v>0</v>
      </c>
      <c r="AE68" s="657">
        <v>0</v>
      </c>
      <c r="AF68" s="657">
        <v>0</v>
      </c>
      <c r="AG68" s="657">
        <v>0</v>
      </c>
      <c r="AH68" s="130"/>
      <c r="AI68" s="657">
        <f>SUMIF('ISO w_System Splits'!$D$8:$D$615,$B68,'ISO w_System Splits'!G$8:G$615)-SUMIF('ISO w_System Splits'!$D$470:$D$520,$B68,'ISO w_System Splits'!G$470:G$520)</f>
        <v>0</v>
      </c>
      <c r="AJ68" s="657">
        <f>SUMIF('ISO w_System Splits'!$D$8:$D$615,$B68,'ISO w_System Splits'!H$8:H$615)-SUMIF('ISO w_System Splits'!$D$470:$D$520,$B68,'ISO w_System Splits'!H$470:H$520)</f>
        <v>0</v>
      </c>
      <c r="AK68" s="657">
        <f>SUMIF('ISO w_System Splits'!$D$8:$D$615,$B68,'ISO w_System Splits'!I$8:I$615)-SUMIF('ISO w_System Splits'!$D$470:$D$520,$B68,'ISO w_System Splits'!I$470:I$520)</f>
        <v>0</v>
      </c>
      <c r="AL68" s="130"/>
      <c r="AM68" s="657">
        <v>0</v>
      </c>
      <c r="AN68" s="657">
        <v>0</v>
      </c>
      <c r="AO68" s="657">
        <v>0</v>
      </c>
      <c r="AP68" s="130"/>
      <c r="AR68">
        <f t="shared" si="19"/>
        <v>0</v>
      </c>
      <c r="AS68">
        <f t="shared" si="20"/>
        <v>0</v>
      </c>
      <c r="AT68">
        <f t="shared" si="21"/>
        <v>0</v>
      </c>
      <c r="AV68">
        <f t="shared" si="22"/>
        <v>0</v>
      </c>
      <c r="AW68">
        <f t="shared" si="23"/>
        <v>0</v>
      </c>
      <c r="AX68">
        <f t="shared" si="24"/>
        <v>0</v>
      </c>
    </row>
    <row r="69" spans="1:50" x14ac:dyDescent="0.25">
      <c r="A69" t="s">
        <v>1452</v>
      </c>
      <c r="B69" s="120">
        <v>4414</v>
      </c>
      <c r="C69" s="1">
        <v>0</v>
      </c>
      <c r="D69" s="1">
        <v>0</v>
      </c>
      <c r="E69" s="1">
        <v>0</v>
      </c>
      <c r="F69" s="1">
        <v>0</v>
      </c>
      <c r="G69" s="1">
        <v>0</v>
      </c>
      <c r="H69" s="1">
        <v>0</v>
      </c>
      <c r="I69" s="152">
        <v>0</v>
      </c>
      <c r="J69" s="121">
        <v>0</v>
      </c>
      <c r="K69" s="121">
        <v>0</v>
      </c>
      <c r="L69" s="121">
        <v>0</v>
      </c>
      <c r="M69" s="657">
        <f>IF('Plant Total by Account'!$H$1=1,AB69,IF('Plant Total by Account'!$H$1=2,AI69,"Input Toggle"))</f>
        <v>0</v>
      </c>
      <c r="N69" s="657">
        <f>IF('Plant Total by Account'!$H$1=1,AC69,IF('Plant Total by Account'!$H$1=2,AJ69,"Input Toggle"))</f>
        <v>0</v>
      </c>
      <c r="O69" s="657">
        <f>IF('Plant Total by Account'!$H$1=1,AD69,IF('Plant Total by Account'!$H$1=2,AK69,"Input Toggle"))</f>
        <v>0</v>
      </c>
      <c r="P69" s="657">
        <f t="shared" ref="P69:P84" si="25">C69-M69</f>
        <v>0</v>
      </c>
      <c r="Q69" s="657">
        <f t="shared" ref="Q69:Q84" si="26">IF((D69-N69)&lt;0,D69,D69-N69)</f>
        <v>0</v>
      </c>
      <c r="R69" s="657">
        <f t="shared" ref="R69:R84" si="27">E69-O69</f>
        <v>0</v>
      </c>
      <c r="S69" s="657">
        <v>0</v>
      </c>
      <c r="T69" s="657">
        <v>0</v>
      </c>
      <c r="U69" s="657">
        <v>0</v>
      </c>
      <c r="V69" s="657">
        <f>IF('Plant Total by Account'!$H$1=1,AE69,IF('Plant Total by Account'!$H$1=2,AM69,"Input Toggle"))</f>
        <v>0</v>
      </c>
      <c r="W69" s="657">
        <f>IF('Plant Total by Account'!$H$1=1,AF69,IF('Plant Total by Account'!$H$1=2,AN69,"Input Toggle"))</f>
        <v>0</v>
      </c>
      <c r="X69" s="657">
        <f>IF('Plant Total by Account'!$H$1=1,AG69,IF('Plant Total by Account'!$H$1=2,AO69,"Input Toggle"))</f>
        <v>0</v>
      </c>
      <c r="Y69" s="657">
        <f t="shared" ref="Y69:Y84" si="28">F69-V69</f>
        <v>0</v>
      </c>
      <c r="Z69" s="121">
        <f t="shared" ref="Z69:Z84" si="29">G69-W69</f>
        <v>0</v>
      </c>
      <c r="AA69" s="121">
        <f t="shared" ref="AA69:AA84" si="30">H69-X69</f>
        <v>0</v>
      </c>
      <c r="AB69" s="657">
        <f>SUMIF('ISO w_System Splits'!$D$8:$D$469,$B69,'ISO w_System Splits'!G$8:G$469)</f>
        <v>0</v>
      </c>
      <c r="AC69" s="657">
        <f>SUMIF('ISO w_System Splits'!$D$8:$D$469,$B69,'ISO w_System Splits'!H$8:H$469)</f>
        <v>0</v>
      </c>
      <c r="AD69" s="657">
        <f>SUMIF('ISO w_System Splits'!$D$8:$D$469,$B69,'ISO w_System Splits'!I$8:I$469)</f>
        <v>0</v>
      </c>
      <c r="AE69" s="657">
        <v>0</v>
      </c>
      <c r="AF69" s="657">
        <v>0</v>
      </c>
      <c r="AG69" s="657">
        <v>0</v>
      </c>
      <c r="AH69" s="130"/>
      <c r="AI69" s="657">
        <f>SUMIF('ISO w_System Splits'!$D$8:$D$615,$B69,'ISO w_System Splits'!G$8:G$615)-SUMIF('ISO w_System Splits'!$D$470:$D$520,$B69,'ISO w_System Splits'!G$470:G$520)</f>
        <v>0</v>
      </c>
      <c r="AJ69" s="657">
        <f>SUMIF('ISO w_System Splits'!$D$8:$D$615,$B69,'ISO w_System Splits'!H$8:H$615)-SUMIF('ISO w_System Splits'!$D$470:$D$520,$B69,'ISO w_System Splits'!H$470:H$520)</f>
        <v>0</v>
      </c>
      <c r="AK69" s="657">
        <f>SUMIF('ISO w_System Splits'!$D$8:$D$615,$B69,'ISO w_System Splits'!I$8:I$615)-SUMIF('ISO w_System Splits'!$D$470:$D$520,$B69,'ISO w_System Splits'!I$470:I$520)</f>
        <v>0</v>
      </c>
      <c r="AL69" s="130"/>
      <c r="AM69" s="657">
        <v>0</v>
      </c>
      <c r="AN69" s="657">
        <v>0</v>
      </c>
      <c r="AO69" s="657">
        <v>0</v>
      </c>
      <c r="AP69" s="130"/>
      <c r="AR69">
        <f t="shared" ref="AR69:AR84" si="31">AB:AB-AI:AI</f>
        <v>0</v>
      </c>
      <c r="AS69">
        <f t="shared" ref="AS69:AS84" si="32">AC:AC-AJ:AJ</f>
        <v>0</v>
      </c>
      <c r="AT69">
        <f t="shared" ref="AT69:AT84" si="33">AD:AD-AK:AK</f>
        <v>0</v>
      </c>
      <c r="AV69">
        <f t="shared" ref="AV69:AV84" si="34">AE:AE-AM:AM</f>
        <v>0</v>
      </c>
      <c r="AW69">
        <f t="shared" ref="AW69:AW84" si="35">AF:AF-AN:AN</f>
        <v>0</v>
      </c>
      <c r="AX69">
        <f t="shared" ref="AX69:AX84" si="36">AG:AG-AO:AO</f>
        <v>0</v>
      </c>
    </row>
    <row r="70" spans="1:50" ht="15" customHeight="1" x14ac:dyDescent="0.25">
      <c r="A70" t="s">
        <v>1453</v>
      </c>
      <c r="B70" s="120">
        <v>4419</v>
      </c>
      <c r="C70" s="1">
        <v>0</v>
      </c>
      <c r="D70" s="1">
        <v>0</v>
      </c>
      <c r="E70" s="1">
        <v>0</v>
      </c>
      <c r="F70" s="1">
        <v>0</v>
      </c>
      <c r="G70" s="1">
        <v>0</v>
      </c>
      <c r="H70" s="1">
        <v>0</v>
      </c>
      <c r="I70" s="152">
        <v>0</v>
      </c>
      <c r="J70" s="121">
        <v>0</v>
      </c>
      <c r="K70" s="121">
        <v>0</v>
      </c>
      <c r="L70" s="121">
        <v>0</v>
      </c>
      <c r="M70" s="657">
        <f>IF('Plant Total by Account'!$H$1=1,AB70,IF('Plant Total by Account'!$H$1=2,AI70,"Input Toggle"))</f>
        <v>0</v>
      </c>
      <c r="N70" s="657">
        <f>IF('Plant Total by Account'!$H$1=1,AC70,IF('Plant Total by Account'!$H$1=2,AJ70,"Input Toggle"))</f>
        <v>0</v>
      </c>
      <c r="O70" s="657">
        <f>IF('Plant Total by Account'!$H$1=1,AD70,IF('Plant Total by Account'!$H$1=2,AK70,"Input Toggle"))</f>
        <v>0</v>
      </c>
      <c r="P70" s="657">
        <f t="shared" si="25"/>
        <v>0</v>
      </c>
      <c r="Q70" s="657">
        <f t="shared" si="26"/>
        <v>0</v>
      </c>
      <c r="R70" s="657">
        <f t="shared" si="27"/>
        <v>0</v>
      </c>
      <c r="S70" s="657">
        <v>0</v>
      </c>
      <c r="T70" s="657">
        <v>0</v>
      </c>
      <c r="U70" s="657">
        <v>0</v>
      </c>
      <c r="V70" s="657">
        <f>IF('Plant Total by Account'!$H$1=1,AE70,IF('Plant Total by Account'!$H$1=2,AM70,"Input Toggle"))</f>
        <v>0</v>
      </c>
      <c r="W70" s="657">
        <f>IF('Plant Total by Account'!$H$1=1,AF70,IF('Plant Total by Account'!$H$1=2,AN70,"Input Toggle"))</f>
        <v>0</v>
      </c>
      <c r="X70" s="657">
        <f>IF('Plant Total by Account'!$H$1=1,AG70,IF('Plant Total by Account'!$H$1=2,AO70,"Input Toggle"))</f>
        <v>0</v>
      </c>
      <c r="Y70" s="657">
        <f t="shared" si="28"/>
        <v>0</v>
      </c>
      <c r="Z70" s="121">
        <f t="shared" si="29"/>
        <v>0</v>
      </c>
      <c r="AA70" s="121">
        <f t="shared" si="30"/>
        <v>0</v>
      </c>
      <c r="AB70" s="657">
        <f>SUMIF('ISO w_System Splits'!$D$8:$D$469,$B70,'ISO w_System Splits'!G$8:G$469)</f>
        <v>0</v>
      </c>
      <c r="AC70" s="657">
        <f>SUMIF('ISO w_System Splits'!$D$8:$D$469,$B70,'ISO w_System Splits'!H$8:H$469)</f>
        <v>0</v>
      </c>
      <c r="AD70" s="657">
        <f>SUMIF('ISO w_System Splits'!$D$8:$D$469,$B70,'ISO w_System Splits'!I$8:I$469)</f>
        <v>0</v>
      </c>
      <c r="AE70" s="657">
        <v>0</v>
      </c>
      <c r="AF70" s="657">
        <v>0</v>
      </c>
      <c r="AG70" s="657">
        <v>0</v>
      </c>
      <c r="AH70" s="130"/>
      <c r="AI70" s="657">
        <f>SUMIF('ISO w_System Splits'!$D$8:$D$615,$B70,'ISO w_System Splits'!G$8:G$615)-SUMIF('ISO w_System Splits'!$D$470:$D$520,$B70,'ISO w_System Splits'!G$470:G$520)</f>
        <v>0</v>
      </c>
      <c r="AJ70" s="657">
        <f>SUMIF('ISO w_System Splits'!$D$8:$D$615,$B70,'ISO w_System Splits'!H$8:H$615)-SUMIF('ISO w_System Splits'!$D$470:$D$520,$B70,'ISO w_System Splits'!H$470:H$520)</f>
        <v>0</v>
      </c>
      <c r="AK70" s="657">
        <f>SUMIF('ISO w_System Splits'!$D$8:$D$615,$B70,'ISO w_System Splits'!I$8:I$615)-SUMIF('ISO w_System Splits'!$D$470:$D$520,$B70,'ISO w_System Splits'!I$470:I$520)</f>
        <v>0</v>
      </c>
      <c r="AL70" s="130"/>
      <c r="AM70" s="657">
        <v>0</v>
      </c>
      <c r="AN70" s="657">
        <v>0</v>
      </c>
      <c r="AO70" s="657">
        <v>0</v>
      </c>
      <c r="AP70" s="130"/>
      <c r="AR70">
        <f t="shared" si="31"/>
        <v>0</v>
      </c>
      <c r="AS70">
        <f t="shared" si="32"/>
        <v>0</v>
      </c>
      <c r="AT70">
        <f t="shared" si="33"/>
        <v>0</v>
      </c>
      <c r="AV70">
        <f t="shared" si="34"/>
        <v>0</v>
      </c>
      <c r="AW70">
        <f t="shared" si="35"/>
        <v>0</v>
      </c>
      <c r="AX70">
        <f t="shared" si="36"/>
        <v>0</v>
      </c>
    </row>
    <row r="71" spans="1:50" ht="15" customHeight="1" x14ac:dyDescent="0.25">
      <c r="A71" t="s">
        <v>522</v>
      </c>
      <c r="B71" s="120">
        <v>4518</v>
      </c>
      <c r="C71" s="1">
        <v>0</v>
      </c>
      <c r="D71" s="1">
        <v>0</v>
      </c>
      <c r="E71" s="1">
        <v>0</v>
      </c>
      <c r="F71" s="1">
        <v>0</v>
      </c>
      <c r="G71" s="1">
        <v>0</v>
      </c>
      <c r="H71" s="1">
        <v>0</v>
      </c>
      <c r="I71" s="152">
        <v>0</v>
      </c>
      <c r="J71" s="121">
        <v>0</v>
      </c>
      <c r="K71" s="121">
        <v>0</v>
      </c>
      <c r="L71" s="121">
        <v>0</v>
      </c>
      <c r="M71" s="657">
        <f>IF('Plant Total by Account'!$H$1=1,AB71,IF('Plant Total by Account'!$H$1=2,AI71,"Input Toggle"))</f>
        <v>0</v>
      </c>
      <c r="N71" s="657">
        <f>IF('Plant Total by Account'!$H$1=1,AC71,IF('Plant Total by Account'!$H$1=2,AJ71,"Input Toggle"))</f>
        <v>0</v>
      </c>
      <c r="O71" s="657">
        <f>IF('Plant Total by Account'!$H$1=1,AD71,IF('Plant Total by Account'!$H$1=2,AK71,"Input Toggle"))</f>
        <v>0</v>
      </c>
      <c r="P71" s="657">
        <f t="shared" si="25"/>
        <v>0</v>
      </c>
      <c r="Q71" s="657">
        <f t="shared" si="26"/>
        <v>0</v>
      </c>
      <c r="R71" s="657">
        <f t="shared" si="27"/>
        <v>0</v>
      </c>
      <c r="S71" s="657">
        <v>0</v>
      </c>
      <c r="T71" s="657">
        <v>0</v>
      </c>
      <c r="U71" s="657">
        <v>0</v>
      </c>
      <c r="V71" s="657">
        <f>IF('Plant Total by Account'!$H$1=1,AE71,IF('Plant Total by Account'!$H$1=2,AM71,"Input Toggle"))</f>
        <v>0</v>
      </c>
      <c r="W71" s="657">
        <f>IF('Plant Total by Account'!$H$1=1,AF71,IF('Plant Total by Account'!$H$1=2,AN71,"Input Toggle"))</f>
        <v>0</v>
      </c>
      <c r="X71" s="657">
        <f>IF('Plant Total by Account'!$H$1=1,AG71,IF('Plant Total by Account'!$H$1=2,AO71,"Input Toggle"))</f>
        <v>0</v>
      </c>
      <c r="Y71" s="657">
        <f t="shared" si="28"/>
        <v>0</v>
      </c>
      <c r="Z71" s="121">
        <f t="shared" si="29"/>
        <v>0</v>
      </c>
      <c r="AA71" s="121">
        <f t="shared" si="30"/>
        <v>0</v>
      </c>
      <c r="AB71" s="657">
        <f>SUMIF('ISO w_System Splits'!$D$8:$D$469,$B71,'ISO w_System Splits'!G$8:G$469)</f>
        <v>0</v>
      </c>
      <c r="AC71" s="657">
        <f>SUMIF('ISO w_System Splits'!$D$8:$D$469,$B71,'ISO w_System Splits'!H$8:H$469)</f>
        <v>0</v>
      </c>
      <c r="AD71" s="657">
        <f>SUMIF('ISO w_System Splits'!$D$8:$D$469,$B71,'ISO w_System Splits'!I$8:I$469)</f>
        <v>0</v>
      </c>
      <c r="AE71" s="657">
        <v>0</v>
      </c>
      <c r="AF71" s="657">
        <v>0</v>
      </c>
      <c r="AG71" s="657">
        <v>0</v>
      </c>
      <c r="AH71" s="130"/>
      <c r="AI71" s="657">
        <f>SUMIF('ISO w_System Splits'!$D$8:$D$615,$B71,'ISO w_System Splits'!G$8:G$615)-SUMIF('ISO w_System Splits'!$D$470:$D$520,$B71,'ISO w_System Splits'!G$470:G$520)</f>
        <v>0</v>
      </c>
      <c r="AJ71" s="657">
        <f>SUMIF('ISO w_System Splits'!$D$8:$D$615,$B71,'ISO w_System Splits'!H$8:H$615)-SUMIF('ISO w_System Splits'!$D$470:$D$520,$B71,'ISO w_System Splits'!H$470:H$520)</f>
        <v>0</v>
      </c>
      <c r="AK71" s="657">
        <f>SUMIF('ISO w_System Splits'!$D$8:$D$615,$B71,'ISO w_System Splits'!I$8:I$615)-SUMIF('ISO w_System Splits'!$D$470:$D$520,$B71,'ISO w_System Splits'!I$470:I$520)</f>
        <v>0</v>
      </c>
      <c r="AL71" s="130"/>
      <c r="AM71" s="657">
        <v>0</v>
      </c>
      <c r="AN71" s="657">
        <v>0</v>
      </c>
      <c r="AO71" s="657">
        <v>0</v>
      </c>
      <c r="AP71" s="130"/>
      <c r="AR71">
        <f t="shared" si="31"/>
        <v>0</v>
      </c>
      <c r="AS71">
        <f t="shared" si="32"/>
        <v>0</v>
      </c>
      <c r="AT71">
        <f t="shared" si="33"/>
        <v>0</v>
      </c>
      <c r="AV71">
        <f t="shared" si="34"/>
        <v>0</v>
      </c>
      <c r="AW71">
        <f t="shared" si="35"/>
        <v>0</v>
      </c>
      <c r="AX71">
        <f t="shared" si="36"/>
        <v>0</v>
      </c>
    </row>
    <row r="72" spans="1:50" ht="15" customHeight="1" x14ac:dyDescent="0.25">
      <c r="A72" t="s">
        <v>1454</v>
      </c>
      <c r="B72" s="120">
        <v>4570</v>
      </c>
      <c r="C72" s="1">
        <v>0</v>
      </c>
      <c r="D72" s="1">
        <v>0</v>
      </c>
      <c r="E72" s="1">
        <v>256666.35</v>
      </c>
      <c r="F72" s="1">
        <v>0</v>
      </c>
      <c r="G72" s="1">
        <v>0</v>
      </c>
      <c r="H72" s="1">
        <v>0</v>
      </c>
      <c r="I72" s="152">
        <v>256666.35</v>
      </c>
      <c r="J72" s="121">
        <v>0</v>
      </c>
      <c r="K72" s="121">
        <v>0</v>
      </c>
      <c r="L72" s="121">
        <v>0</v>
      </c>
      <c r="M72" s="657">
        <f>IF('Plant Total by Account'!$H$1=1,AB72,IF('Plant Total by Account'!$H$1=2,AI72,"Input Toggle"))</f>
        <v>0</v>
      </c>
      <c r="N72" s="657">
        <f>IF('Plant Total by Account'!$H$1=1,AC72,IF('Plant Total by Account'!$H$1=2,AJ72,"Input Toggle"))</f>
        <v>0</v>
      </c>
      <c r="O72" s="657">
        <f>IF('Plant Total by Account'!$H$1=1,AD72,IF('Plant Total by Account'!$H$1=2,AK72,"Input Toggle"))</f>
        <v>0</v>
      </c>
      <c r="P72" s="657">
        <f t="shared" si="25"/>
        <v>0</v>
      </c>
      <c r="Q72" s="657">
        <f t="shared" si="26"/>
        <v>0</v>
      </c>
      <c r="R72" s="657">
        <f t="shared" si="27"/>
        <v>256666.35</v>
      </c>
      <c r="S72" s="657">
        <v>0</v>
      </c>
      <c r="T72" s="657">
        <v>0</v>
      </c>
      <c r="U72" s="657">
        <v>0</v>
      </c>
      <c r="V72" s="657">
        <f>IF('Plant Total by Account'!$H$1=1,AE72,IF('Plant Total by Account'!$H$1=2,AM72,"Input Toggle"))</f>
        <v>0</v>
      </c>
      <c r="W72" s="657">
        <f>IF('Plant Total by Account'!$H$1=1,AF72,IF('Plant Total by Account'!$H$1=2,AN72,"Input Toggle"))</f>
        <v>0</v>
      </c>
      <c r="X72" s="657">
        <f>IF('Plant Total by Account'!$H$1=1,AG72,IF('Plant Total by Account'!$H$1=2,AO72,"Input Toggle"))</f>
        <v>0</v>
      </c>
      <c r="Y72" s="657">
        <f t="shared" si="28"/>
        <v>0</v>
      </c>
      <c r="Z72" s="121">
        <f t="shared" si="29"/>
        <v>0</v>
      </c>
      <c r="AA72" s="121">
        <f t="shared" si="30"/>
        <v>0</v>
      </c>
      <c r="AB72" s="657">
        <f>SUMIF('ISO w_System Splits'!$D$8:$D$469,$B72,'ISO w_System Splits'!G$8:G$469)</f>
        <v>0</v>
      </c>
      <c r="AC72" s="657">
        <f>SUMIF('ISO w_System Splits'!$D$8:$D$469,$B72,'ISO w_System Splits'!H$8:H$469)</f>
        <v>0</v>
      </c>
      <c r="AD72" s="657">
        <f>SUMIF('ISO w_System Splits'!$D$8:$D$469,$B72,'ISO w_System Splits'!I$8:I$469)</f>
        <v>0</v>
      </c>
      <c r="AE72" s="657">
        <v>0</v>
      </c>
      <c r="AF72" s="657">
        <v>0</v>
      </c>
      <c r="AG72" s="657">
        <v>0</v>
      </c>
      <c r="AH72" s="130"/>
      <c r="AI72" s="657">
        <f>SUMIF('ISO w_System Splits'!$D$8:$D$615,$B72,'ISO w_System Splits'!G$8:G$615)-SUMIF('ISO w_System Splits'!$D$470:$D$520,$B72,'ISO w_System Splits'!G$470:G$520)</f>
        <v>0</v>
      </c>
      <c r="AJ72" s="657">
        <f>SUMIF('ISO w_System Splits'!$D$8:$D$615,$B72,'ISO w_System Splits'!H$8:H$615)-SUMIF('ISO w_System Splits'!$D$470:$D$520,$B72,'ISO w_System Splits'!H$470:H$520)</f>
        <v>0</v>
      </c>
      <c r="AK72" s="657">
        <f>SUMIF('ISO w_System Splits'!$D$8:$D$615,$B72,'ISO w_System Splits'!I$8:I$615)-SUMIF('ISO w_System Splits'!$D$470:$D$520,$B72,'ISO w_System Splits'!I$470:I$520)</f>
        <v>0</v>
      </c>
      <c r="AL72" s="130"/>
      <c r="AM72" s="657">
        <v>0</v>
      </c>
      <c r="AN72" s="657">
        <v>0</v>
      </c>
      <c r="AO72" s="657">
        <v>0</v>
      </c>
      <c r="AP72" s="130"/>
      <c r="AR72">
        <f t="shared" si="31"/>
        <v>0</v>
      </c>
      <c r="AS72">
        <f t="shared" si="32"/>
        <v>0</v>
      </c>
      <c r="AT72">
        <f t="shared" si="33"/>
        <v>0</v>
      </c>
      <c r="AV72">
        <f t="shared" si="34"/>
        <v>0</v>
      </c>
      <c r="AW72">
        <f t="shared" si="35"/>
        <v>0</v>
      </c>
      <c r="AX72">
        <f t="shared" si="36"/>
        <v>0</v>
      </c>
    </row>
    <row r="73" spans="1:50" ht="15" customHeight="1" x14ac:dyDescent="0.25">
      <c r="A73" t="s">
        <v>1443</v>
      </c>
      <c r="B73" s="120">
        <v>4600</v>
      </c>
      <c r="C73" s="1">
        <v>0</v>
      </c>
      <c r="D73" s="1">
        <v>106617.96</v>
      </c>
      <c r="E73" s="1">
        <v>21514.78</v>
      </c>
      <c r="F73" s="1">
        <v>0</v>
      </c>
      <c r="G73" s="1">
        <v>14551.73</v>
      </c>
      <c r="H73" s="1">
        <v>0</v>
      </c>
      <c r="I73" s="152">
        <v>142684.47</v>
      </c>
      <c r="J73" s="121">
        <v>0</v>
      </c>
      <c r="K73" s="121">
        <v>0</v>
      </c>
      <c r="L73" s="121">
        <v>0</v>
      </c>
      <c r="M73" s="657">
        <f>IF('Plant Total by Account'!$H$1=1,AB73,IF('Plant Total by Account'!$H$1=2,AI73,"Input Toggle"))</f>
        <v>0</v>
      </c>
      <c r="N73" s="657">
        <f>IF('Plant Total by Account'!$H$1=1,AC73,IF('Plant Total by Account'!$H$1=2,AJ73,"Input Toggle"))</f>
        <v>0</v>
      </c>
      <c r="O73" s="657">
        <f>IF('Plant Total by Account'!$H$1=1,AD73,IF('Plant Total by Account'!$H$1=2,AK73,"Input Toggle"))</f>
        <v>0</v>
      </c>
      <c r="P73" s="657">
        <f t="shared" si="25"/>
        <v>0</v>
      </c>
      <c r="Q73" s="657">
        <f t="shared" si="26"/>
        <v>106617.96</v>
      </c>
      <c r="R73" s="657">
        <f t="shared" si="27"/>
        <v>21514.78</v>
      </c>
      <c r="S73" s="657">
        <v>0</v>
      </c>
      <c r="T73" s="657">
        <v>0</v>
      </c>
      <c r="U73" s="657">
        <v>0</v>
      </c>
      <c r="V73" s="657">
        <f>IF('Plant Total by Account'!$H$1=1,AE73,IF('Plant Total by Account'!$H$1=2,AM73,"Input Toggle"))</f>
        <v>0</v>
      </c>
      <c r="W73" s="657">
        <f>IF('Plant Total by Account'!$H$1=1,AF73,IF('Plant Total by Account'!$H$1=2,AN73,"Input Toggle"))</f>
        <v>0</v>
      </c>
      <c r="X73" s="657">
        <f>IF('Plant Total by Account'!$H$1=1,AG73,IF('Plant Total by Account'!$H$1=2,AO73,"Input Toggle"))</f>
        <v>0</v>
      </c>
      <c r="Y73" s="657">
        <f t="shared" si="28"/>
        <v>0</v>
      </c>
      <c r="Z73" s="121">
        <f t="shared" si="29"/>
        <v>14551.73</v>
      </c>
      <c r="AA73" s="121">
        <f t="shared" si="30"/>
        <v>0</v>
      </c>
      <c r="AB73" s="657">
        <f>SUMIF('ISO w_System Splits'!$D$8:$D$469,$B73,'ISO w_System Splits'!G$8:G$469)</f>
        <v>0</v>
      </c>
      <c r="AC73" s="657">
        <f>SUMIF('ISO w_System Splits'!$D$8:$D$469,$B73,'ISO w_System Splits'!H$8:H$469)</f>
        <v>0</v>
      </c>
      <c r="AD73" s="657">
        <f>SUMIF('ISO w_System Splits'!$D$8:$D$469,$B73,'ISO w_System Splits'!I$8:I$469)</f>
        <v>0</v>
      </c>
      <c r="AE73" s="657">
        <v>0</v>
      </c>
      <c r="AF73" s="657">
        <v>0</v>
      </c>
      <c r="AG73" s="657">
        <v>0</v>
      </c>
      <c r="AH73" s="130"/>
      <c r="AI73" s="657">
        <f>SUMIF('ISO w_System Splits'!$D$8:$D$615,$B73,'ISO w_System Splits'!G$8:G$615)-SUMIF('ISO w_System Splits'!$D$470:$D$520,$B73,'ISO w_System Splits'!G$470:G$520)</f>
        <v>0</v>
      </c>
      <c r="AJ73" s="657">
        <f>SUMIF('ISO w_System Splits'!$D$8:$D$615,$B73,'ISO w_System Splits'!H$8:H$615)-SUMIF('ISO w_System Splits'!$D$470:$D$520,$B73,'ISO w_System Splits'!H$470:H$520)</f>
        <v>0</v>
      </c>
      <c r="AK73" s="657">
        <f>SUMIF('ISO w_System Splits'!$D$8:$D$615,$B73,'ISO w_System Splits'!I$8:I$615)-SUMIF('ISO w_System Splits'!$D$470:$D$520,$B73,'ISO w_System Splits'!I$470:I$520)</f>
        <v>0</v>
      </c>
      <c r="AL73" s="130"/>
      <c r="AM73" s="657">
        <v>0</v>
      </c>
      <c r="AN73" s="657">
        <v>0</v>
      </c>
      <c r="AO73" s="657">
        <v>0</v>
      </c>
      <c r="AP73" s="130"/>
      <c r="AR73">
        <f t="shared" si="31"/>
        <v>0</v>
      </c>
      <c r="AS73">
        <f t="shared" si="32"/>
        <v>0</v>
      </c>
      <c r="AT73">
        <f t="shared" si="33"/>
        <v>0</v>
      </c>
      <c r="AV73">
        <f t="shared" si="34"/>
        <v>0</v>
      </c>
      <c r="AW73">
        <f t="shared" si="35"/>
        <v>0</v>
      </c>
      <c r="AX73">
        <f t="shared" si="36"/>
        <v>0</v>
      </c>
    </row>
    <row r="74" spans="1:50" ht="15" customHeight="1" x14ac:dyDescent="0.25">
      <c r="A74" t="s">
        <v>523</v>
      </c>
      <c r="B74" s="120">
        <v>4605</v>
      </c>
      <c r="C74" s="1">
        <v>0</v>
      </c>
      <c r="D74" s="1">
        <v>235737.67</v>
      </c>
      <c r="E74" s="1">
        <v>0</v>
      </c>
      <c r="F74" s="1">
        <v>83844.39</v>
      </c>
      <c r="G74" s="1">
        <v>0</v>
      </c>
      <c r="H74" s="1">
        <v>0</v>
      </c>
      <c r="I74" s="152">
        <v>319582.06</v>
      </c>
      <c r="J74" s="121">
        <v>0</v>
      </c>
      <c r="K74" s="121">
        <v>0</v>
      </c>
      <c r="L74" s="121">
        <v>0</v>
      </c>
      <c r="M74" s="657">
        <f>IF('Plant Total by Account'!$H$1=1,AB74,IF('Plant Total by Account'!$H$1=2,AI74,"Input Toggle"))</f>
        <v>0</v>
      </c>
      <c r="N74" s="657">
        <f>IF('Plant Total by Account'!$H$1=1,AC74,IF('Plant Total by Account'!$H$1=2,AJ74,"Input Toggle"))</f>
        <v>0</v>
      </c>
      <c r="O74" s="657">
        <f>IF('Plant Total by Account'!$H$1=1,AD74,IF('Plant Total by Account'!$H$1=2,AK74,"Input Toggle"))</f>
        <v>0</v>
      </c>
      <c r="P74" s="657">
        <f t="shared" si="25"/>
        <v>0</v>
      </c>
      <c r="Q74" s="657">
        <f t="shared" si="26"/>
        <v>235737.67</v>
      </c>
      <c r="R74" s="657">
        <f t="shared" si="27"/>
        <v>0</v>
      </c>
      <c r="S74" s="657">
        <v>0</v>
      </c>
      <c r="T74" s="657">
        <v>0</v>
      </c>
      <c r="U74" s="657">
        <v>0</v>
      </c>
      <c r="V74" s="657">
        <f>IF('Plant Total by Account'!$H$1=1,AE74,IF('Plant Total by Account'!$H$1=2,AM74,"Input Toggle"))</f>
        <v>0</v>
      </c>
      <c r="W74" s="657">
        <f>IF('Plant Total by Account'!$H$1=1,AF74,IF('Plant Total by Account'!$H$1=2,AN74,"Input Toggle"))</f>
        <v>0</v>
      </c>
      <c r="X74" s="657">
        <f>IF('Plant Total by Account'!$H$1=1,AG74,IF('Plant Total by Account'!$H$1=2,AO74,"Input Toggle"))</f>
        <v>0</v>
      </c>
      <c r="Y74" s="657">
        <f t="shared" si="28"/>
        <v>83844.39</v>
      </c>
      <c r="Z74" s="121">
        <f t="shared" si="29"/>
        <v>0</v>
      </c>
      <c r="AA74" s="121">
        <f t="shared" si="30"/>
        <v>0</v>
      </c>
      <c r="AB74" s="657">
        <f>SUMIF('ISO w_System Splits'!$D$8:$D$469,$B74,'ISO w_System Splits'!G$8:G$469)</f>
        <v>0</v>
      </c>
      <c r="AC74" s="657">
        <f>SUMIF('ISO w_System Splits'!$D$8:$D$469,$B74,'ISO w_System Splits'!H$8:H$469)</f>
        <v>0</v>
      </c>
      <c r="AD74" s="657">
        <f>SUMIF('ISO w_System Splits'!$D$8:$D$469,$B74,'ISO w_System Splits'!I$8:I$469)</f>
        <v>0</v>
      </c>
      <c r="AE74" s="657">
        <v>0</v>
      </c>
      <c r="AF74" s="657">
        <v>0</v>
      </c>
      <c r="AG74" s="657">
        <v>0</v>
      </c>
      <c r="AH74" s="130"/>
      <c r="AI74" s="657">
        <f>SUMIF('ISO w_System Splits'!$D$8:$D$615,$B74,'ISO w_System Splits'!G$8:G$615)-SUMIF('ISO w_System Splits'!$D$470:$D$520,$B74,'ISO w_System Splits'!G$470:G$520)</f>
        <v>0</v>
      </c>
      <c r="AJ74" s="657">
        <f>SUMIF('ISO w_System Splits'!$D$8:$D$615,$B74,'ISO w_System Splits'!H$8:H$615)-SUMIF('ISO w_System Splits'!$D$470:$D$520,$B74,'ISO w_System Splits'!H$470:H$520)</f>
        <v>0</v>
      </c>
      <c r="AK74" s="657">
        <f>SUMIF('ISO w_System Splits'!$D$8:$D$615,$B74,'ISO w_System Splits'!I$8:I$615)-SUMIF('ISO w_System Splits'!$D$470:$D$520,$B74,'ISO w_System Splits'!I$470:I$520)</f>
        <v>0</v>
      </c>
      <c r="AL74" s="130"/>
      <c r="AM74" s="657">
        <v>0</v>
      </c>
      <c r="AN74" s="657">
        <v>0</v>
      </c>
      <c r="AO74" s="657">
        <v>0</v>
      </c>
      <c r="AP74" s="130"/>
      <c r="AR74">
        <f t="shared" si="31"/>
        <v>0</v>
      </c>
      <c r="AS74">
        <f t="shared" si="32"/>
        <v>0</v>
      </c>
      <c r="AT74">
        <f t="shared" si="33"/>
        <v>0</v>
      </c>
      <c r="AV74">
        <f t="shared" si="34"/>
        <v>0</v>
      </c>
      <c r="AW74">
        <f t="shared" si="35"/>
        <v>0</v>
      </c>
      <c r="AX74">
        <f t="shared" si="36"/>
        <v>0</v>
      </c>
    </row>
    <row r="75" spans="1:50" ht="15" customHeight="1" x14ac:dyDescent="0.25">
      <c r="A75" t="s">
        <v>1455</v>
      </c>
      <c r="B75" s="120">
        <v>4625</v>
      </c>
      <c r="C75" s="1">
        <v>0</v>
      </c>
      <c r="D75" s="1">
        <v>7825.3600000000006</v>
      </c>
      <c r="E75" s="1">
        <v>0</v>
      </c>
      <c r="F75" s="1">
        <v>0</v>
      </c>
      <c r="G75" s="1">
        <v>0</v>
      </c>
      <c r="H75" s="1">
        <v>0</v>
      </c>
      <c r="I75" s="152">
        <v>7825.3600000000006</v>
      </c>
      <c r="J75" s="121">
        <v>0</v>
      </c>
      <c r="K75" s="121">
        <v>0</v>
      </c>
      <c r="L75" s="121">
        <v>0</v>
      </c>
      <c r="M75" s="657">
        <f>IF('Plant Total by Account'!$H$1=1,AB75,IF('Plant Total by Account'!$H$1=2,AI75,"Input Toggle"))</f>
        <v>0</v>
      </c>
      <c r="N75" s="657">
        <f>IF('Plant Total by Account'!$H$1=1,AC75,IF('Plant Total by Account'!$H$1=2,AJ75,"Input Toggle"))</f>
        <v>0</v>
      </c>
      <c r="O75" s="657">
        <f>IF('Plant Total by Account'!$H$1=1,AD75,IF('Plant Total by Account'!$H$1=2,AK75,"Input Toggle"))</f>
        <v>0</v>
      </c>
      <c r="P75" s="657">
        <f t="shared" si="25"/>
        <v>0</v>
      </c>
      <c r="Q75" s="657">
        <f t="shared" si="26"/>
        <v>7825.3600000000006</v>
      </c>
      <c r="R75" s="657">
        <f t="shared" si="27"/>
        <v>0</v>
      </c>
      <c r="S75" s="657">
        <v>0</v>
      </c>
      <c r="T75" s="657">
        <v>0</v>
      </c>
      <c r="U75" s="657">
        <v>0</v>
      </c>
      <c r="V75" s="657">
        <f>IF('Plant Total by Account'!$H$1=1,AE75,IF('Plant Total by Account'!$H$1=2,AM75,"Input Toggle"))</f>
        <v>0</v>
      </c>
      <c r="W75" s="657">
        <f>IF('Plant Total by Account'!$H$1=1,AF75,IF('Plant Total by Account'!$H$1=2,AN75,"Input Toggle"))</f>
        <v>0</v>
      </c>
      <c r="X75" s="657">
        <f>IF('Plant Total by Account'!$H$1=1,AG75,IF('Plant Total by Account'!$H$1=2,AO75,"Input Toggle"))</f>
        <v>0</v>
      </c>
      <c r="Y75" s="657">
        <f t="shared" si="28"/>
        <v>0</v>
      </c>
      <c r="Z75" s="121">
        <f t="shared" si="29"/>
        <v>0</v>
      </c>
      <c r="AA75" s="121">
        <f t="shared" si="30"/>
        <v>0</v>
      </c>
      <c r="AB75" s="657">
        <f>SUMIF('ISO w_System Splits'!$D$8:$D$469,$B75,'ISO w_System Splits'!G$8:G$469)</f>
        <v>0</v>
      </c>
      <c r="AC75" s="657">
        <f>SUMIF('ISO w_System Splits'!$D$8:$D$469,$B75,'ISO w_System Splits'!H$8:H$469)</f>
        <v>0</v>
      </c>
      <c r="AD75" s="657">
        <f>SUMIF('ISO w_System Splits'!$D$8:$D$469,$B75,'ISO w_System Splits'!I$8:I$469)</f>
        <v>0</v>
      </c>
      <c r="AE75" s="657">
        <v>0</v>
      </c>
      <c r="AF75" s="657">
        <v>0</v>
      </c>
      <c r="AG75" s="657">
        <v>0</v>
      </c>
      <c r="AH75" s="130"/>
      <c r="AI75" s="657">
        <f>SUMIF('ISO w_System Splits'!$D$8:$D$615,$B75,'ISO w_System Splits'!G$8:G$615)-SUMIF('ISO w_System Splits'!$D$470:$D$520,$B75,'ISO w_System Splits'!G$470:G$520)</f>
        <v>0</v>
      </c>
      <c r="AJ75" s="657">
        <f>SUMIF('ISO w_System Splits'!$D$8:$D$615,$B75,'ISO w_System Splits'!H$8:H$615)-SUMIF('ISO w_System Splits'!$D$470:$D$520,$B75,'ISO w_System Splits'!H$470:H$520)</f>
        <v>0</v>
      </c>
      <c r="AK75" s="657">
        <f>SUMIF('ISO w_System Splits'!$D$8:$D$615,$B75,'ISO w_System Splits'!I$8:I$615)-SUMIF('ISO w_System Splits'!$D$470:$D$520,$B75,'ISO w_System Splits'!I$470:I$520)</f>
        <v>0</v>
      </c>
      <c r="AL75" s="130"/>
      <c r="AM75" s="657">
        <v>0</v>
      </c>
      <c r="AN75" s="657">
        <v>0</v>
      </c>
      <c r="AO75" s="657">
        <v>0</v>
      </c>
      <c r="AP75" s="130"/>
      <c r="AR75">
        <f t="shared" si="31"/>
        <v>0</v>
      </c>
      <c r="AS75">
        <f t="shared" si="32"/>
        <v>0</v>
      </c>
      <c r="AT75">
        <f t="shared" si="33"/>
        <v>0</v>
      </c>
      <c r="AV75">
        <f t="shared" si="34"/>
        <v>0</v>
      </c>
      <c r="AW75">
        <f t="shared" si="35"/>
        <v>0</v>
      </c>
      <c r="AX75">
        <f t="shared" si="36"/>
        <v>0</v>
      </c>
    </row>
    <row r="76" spans="1:50" ht="15" customHeight="1" x14ac:dyDescent="0.25">
      <c r="A76" t="s">
        <v>1442</v>
      </c>
      <c r="B76" s="120">
        <v>4700</v>
      </c>
      <c r="C76" s="1">
        <v>33304.81</v>
      </c>
      <c r="D76" s="1">
        <v>0</v>
      </c>
      <c r="E76" s="1">
        <v>1232.8699999999999</v>
      </c>
      <c r="F76" s="1">
        <v>0</v>
      </c>
      <c r="G76" s="1">
        <v>0</v>
      </c>
      <c r="H76" s="1">
        <v>0</v>
      </c>
      <c r="I76" s="152">
        <v>34537.68</v>
      </c>
      <c r="J76" s="121">
        <v>0</v>
      </c>
      <c r="K76" s="121">
        <v>0</v>
      </c>
      <c r="L76" s="121">
        <v>0</v>
      </c>
      <c r="M76" s="657">
        <f>IF('Plant Total by Account'!$H$1=1,AB76,IF('Plant Total by Account'!$H$1=2,AI76,"Input Toggle"))</f>
        <v>0</v>
      </c>
      <c r="N76" s="657">
        <f>IF('Plant Total by Account'!$H$1=1,AC76,IF('Plant Total by Account'!$H$1=2,AJ76,"Input Toggle"))</f>
        <v>0</v>
      </c>
      <c r="O76" s="657">
        <f>IF('Plant Total by Account'!$H$1=1,AD76,IF('Plant Total by Account'!$H$1=2,AK76,"Input Toggle"))</f>
        <v>0</v>
      </c>
      <c r="P76" s="657">
        <f t="shared" si="25"/>
        <v>33304.81</v>
      </c>
      <c r="Q76" s="657">
        <f t="shared" si="26"/>
        <v>0</v>
      </c>
      <c r="R76" s="657">
        <f t="shared" si="27"/>
        <v>1232.8699999999999</v>
      </c>
      <c r="S76" s="657">
        <v>0</v>
      </c>
      <c r="T76" s="657">
        <v>0</v>
      </c>
      <c r="U76" s="657">
        <v>0</v>
      </c>
      <c r="V76" s="657">
        <f>IF('Plant Total by Account'!$H$1=1,AE76,IF('Plant Total by Account'!$H$1=2,AM76,"Input Toggle"))</f>
        <v>0</v>
      </c>
      <c r="W76" s="657">
        <f>IF('Plant Total by Account'!$H$1=1,AF76,IF('Plant Total by Account'!$H$1=2,AN76,"Input Toggle"))</f>
        <v>0</v>
      </c>
      <c r="X76" s="657">
        <f>IF('Plant Total by Account'!$H$1=1,AG76,IF('Plant Total by Account'!$H$1=2,AO76,"Input Toggle"))</f>
        <v>0</v>
      </c>
      <c r="Y76" s="657">
        <f t="shared" si="28"/>
        <v>0</v>
      </c>
      <c r="Z76" s="121">
        <f t="shared" si="29"/>
        <v>0</v>
      </c>
      <c r="AA76" s="121">
        <f t="shared" si="30"/>
        <v>0</v>
      </c>
      <c r="AB76" s="657">
        <f>SUMIF('ISO w_System Splits'!$D$8:$D$469,$B76,'ISO w_System Splits'!G$8:G$469)</f>
        <v>0</v>
      </c>
      <c r="AC76" s="657">
        <f>SUMIF('ISO w_System Splits'!$D$8:$D$469,$B76,'ISO w_System Splits'!H$8:H$469)</f>
        <v>0</v>
      </c>
      <c r="AD76" s="657">
        <f>SUMIF('ISO w_System Splits'!$D$8:$D$469,$B76,'ISO w_System Splits'!I$8:I$469)</f>
        <v>0</v>
      </c>
      <c r="AE76" s="657">
        <v>0</v>
      </c>
      <c r="AF76" s="657">
        <v>0</v>
      </c>
      <c r="AG76" s="657">
        <v>0</v>
      </c>
      <c r="AH76" s="130"/>
      <c r="AI76" s="657">
        <f>SUMIF('ISO w_System Splits'!$D$8:$D$615,$B76,'ISO w_System Splits'!G$8:G$615)-SUMIF('ISO w_System Splits'!$D$470:$D$520,$B76,'ISO w_System Splits'!G$470:G$520)</f>
        <v>0</v>
      </c>
      <c r="AJ76" s="657">
        <f>SUMIF('ISO w_System Splits'!$D$8:$D$615,$B76,'ISO w_System Splits'!H$8:H$615)-SUMIF('ISO w_System Splits'!$D$470:$D$520,$B76,'ISO w_System Splits'!H$470:H$520)</f>
        <v>0</v>
      </c>
      <c r="AK76" s="657">
        <f>SUMIF('ISO w_System Splits'!$D$8:$D$615,$B76,'ISO w_System Splits'!I$8:I$615)-SUMIF('ISO w_System Splits'!$D$470:$D$520,$B76,'ISO w_System Splits'!I$470:I$520)</f>
        <v>0</v>
      </c>
      <c r="AL76" s="130"/>
      <c r="AM76" s="657">
        <v>0</v>
      </c>
      <c r="AN76" s="657">
        <v>0</v>
      </c>
      <c r="AO76" s="657">
        <v>0</v>
      </c>
      <c r="AP76" s="130"/>
      <c r="AR76">
        <f t="shared" si="31"/>
        <v>0</v>
      </c>
      <c r="AS76">
        <f t="shared" si="32"/>
        <v>0</v>
      </c>
      <c r="AT76">
        <f t="shared" si="33"/>
        <v>0</v>
      </c>
      <c r="AV76">
        <f t="shared" si="34"/>
        <v>0</v>
      </c>
      <c r="AW76">
        <f t="shared" si="35"/>
        <v>0</v>
      </c>
      <c r="AX76">
        <f t="shared" si="36"/>
        <v>0</v>
      </c>
    </row>
    <row r="77" spans="1:50" ht="15" customHeight="1" x14ac:dyDescent="0.25">
      <c r="A77" t="s">
        <v>1441</v>
      </c>
      <c r="B77" s="120">
        <v>4705</v>
      </c>
      <c r="C77" s="1">
        <v>243214.84000000003</v>
      </c>
      <c r="D77" s="1">
        <v>3295.58</v>
      </c>
      <c r="E77" s="1">
        <v>0</v>
      </c>
      <c r="F77" s="1">
        <v>0</v>
      </c>
      <c r="G77" s="1">
        <v>0</v>
      </c>
      <c r="H77" s="1">
        <v>0</v>
      </c>
      <c r="I77" s="152">
        <v>246510.42</v>
      </c>
      <c r="J77" s="121">
        <v>0</v>
      </c>
      <c r="K77" s="121">
        <v>0</v>
      </c>
      <c r="L77" s="121">
        <v>0</v>
      </c>
      <c r="M77" s="657">
        <f>IF('Plant Total by Account'!$H$1=1,AB77,IF('Plant Total by Account'!$H$1=2,AI77,"Input Toggle"))</f>
        <v>94330.825096154091</v>
      </c>
      <c r="N77" s="657">
        <f>IF('Plant Total by Account'!$H$1=1,AC77,IF('Plant Total by Account'!$H$1=2,AJ77,"Input Toggle"))</f>
        <v>1278.1900173952522</v>
      </c>
      <c r="O77" s="657">
        <f>IF('Plant Total by Account'!$H$1=1,AD77,IF('Plant Total by Account'!$H$1=2,AK77,"Input Toggle"))</f>
        <v>0</v>
      </c>
      <c r="P77" s="657">
        <f t="shared" si="25"/>
        <v>148884.01490384593</v>
      </c>
      <c r="Q77" s="657">
        <f t="shared" si="26"/>
        <v>2017.3899826047477</v>
      </c>
      <c r="R77" s="657">
        <f t="shared" si="27"/>
        <v>0</v>
      </c>
      <c r="S77" s="657">
        <v>0</v>
      </c>
      <c r="T77" s="657">
        <v>0</v>
      </c>
      <c r="U77" s="657">
        <v>0</v>
      </c>
      <c r="V77" s="657">
        <f>IF('Plant Total by Account'!$H$1=1,AE77,IF('Plant Total by Account'!$H$1=2,AM77,"Input Toggle"))</f>
        <v>0</v>
      </c>
      <c r="W77" s="657">
        <f>IF('Plant Total by Account'!$H$1=1,AF77,IF('Plant Total by Account'!$H$1=2,AN77,"Input Toggle"))</f>
        <v>0</v>
      </c>
      <c r="X77" s="657">
        <f>IF('Plant Total by Account'!$H$1=1,AG77,IF('Plant Total by Account'!$H$1=2,AO77,"Input Toggle"))</f>
        <v>0</v>
      </c>
      <c r="Y77" s="657">
        <f t="shared" si="28"/>
        <v>0</v>
      </c>
      <c r="Z77" s="121">
        <f t="shared" si="29"/>
        <v>0</v>
      </c>
      <c r="AA77" s="121">
        <f t="shared" si="30"/>
        <v>0</v>
      </c>
      <c r="AB77" s="657">
        <f>SUMIF('ISO w_System Splits'!$D$8:$D$469,$B77,'ISO w_System Splits'!G$8:G$469)</f>
        <v>94330.825096154091</v>
      </c>
      <c r="AC77" s="657">
        <f>SUMIF('ISO w_System Splits'!$D$8:$D$469,$B77,'ISO w_System Splits'!H$8:H$469)</f>
        <v>1278.1900173952522</v>
      </c>
      <c r="AD77" s="657">
        <f>SUMIF('ISO w_System Splits'!$D$8:$D$469,$B77,'ISO w_System Splits'!I$8:I$469)</f>
        <v>0</v>
      </c>
      <c r="AE77" s="657">
        <v>0</v>
      </c>
      <c r="AF77" s="657">
        <v>0</v>
      </c>
      <c r="AG77" s="657">
        <v>0</v>
      </c>
      <c r="AH77" s="130"/>
      <c r="AI77" s="657">
        <f>SUMIF('ISO w_System Splits'!$D$8:$D$615,$B77,'ISO w_System Splits'!G$8:G$615)-SUMIF('ISO w_System Splits'!$D$470:$D$520,$B77,'ISO w_System Splits'!G$470:G$520)</f>
        <v>94330.825096154091</v>
      </c>
      <c r="AJ77" s="657">
        <f>SUMIF('ISO w_System Splits'!$D$8:$D$615,$B77,'ISO w_System Splits'!H$8:H$615)-SUMIF('ISO w_System Splits'!$D$470:$D$520,$B77,'ISO w_System Splits'!H$470:H$520)</f>
        <v>1278.1900173952522</v>
      </c>
      <c r="AK77" s="657">
        <f>SUMIF('ISO w_System Splits'!$D$8:$D$615,$B77,'ISO w_System Splits'!I$8:I$615)-SUMIF('ISO w_System Splits'!$D$470:$D$520,$B77,'ISO w_System Splits'!I$470:I$520)</f>
        <v>0</v>
      </c>
      <c r="AL77" s="130"/>
      <c r="AM77" s="657">
        <v>0</v>
      </c>
      <c r="AN77" s="657">
        <v>0</v>
      </c>
      <c r="AO77" s="657">
        <v>0</v>
      </c>
      <c r="AP77" s="130"/>
      <c r="AR77">
        <f t="shared" si="31"/>
        <v>0</v>
      </c>
      <c r="AS77">
        <f t="shared" si="32"/>
        <v>0</v>
      </c>
      <c r="AT77">
        <f t="shared" si="33"/>
        <v>0</v>
      </c>
      <c r="AV77">
        <f t="shared" si="34"/>
        <v>0</v>
      </c>
      <c r="AW77">
        <f t="shared" si="35"/>
        <v>0</v>
      </c>
      <c r="AX77">
        <f t="shared" si="36"/>
        <v>0</v>
      </c>
    </row>
    <row r="78" spans="1:50" ht="15" customHeight="1" x14ac:dyDescent="0.25">
      <c r="A78" t="s">
        <v>524</v>
      </c>
      <c r="B78" s="120">
        <v>4730</v>
      </c>
      <c r="C78" s="1">
        <v>10584.86</v>
      </c>
      <c r="D78" s="1">
        <v>0</v>
      </c>
      <c r="E78" s="1">
        <v>0</v>
      </c>
      <c r="F78" s="1">
        <v>0</v>
      </c>
      <c r="G78" s="1">
        <v>0</v>
      </c>
      <c r="H78" s="1">
        <v>0</v>
      </c>
      <c r="I78" s="152">
        <v>10584.86</v>
      </c>
      <c r="J78" s="121">
        <v>0</v>
      </c>
      <c r="K78" s="121">
        <v>0</v>
      </c>
      <c r="L78" s="121">
        <v>0</v>
      </c>
      <c r="M78" s="657">
        <f>IF('Plant Total by Account'!$H$1=1,AB78,IF('Plant Total by Account'!$H$1=2,AI78,"Input Toggle"))</f>
        <v>0</v>
      </c>
      <c r="N78" s="657">
        <f>IF('Plant Total by Account'!$H$1=1,AC78,IF('Plant Total by Account'!$H$1=2,AJ78,"Input Toggle"))</f>
        <v>0</v>
      </c>
      <c r="O78" s="657">
        <f>IF('Plant Total by Account'!$H$1=1,AD78,IF('Plant Total by Account'!$H$1=2,AK78,"Input Toggle"))</f>
        <v>0</v>
      </c>
      <c r="P78" s="657">
        <f t="shared" si="25"/>
        <v>10584.86</v>
      </c>
      <c r="Q78" s="657">
        <f t="shared" si="26"/>
        <v>0</v>
      </c>
      <c r="R78" s="657">
        <f t="shared" si="27"/>
        <v>0</v>
      </c>
      <c r="S78" s="657">
        <v>0</v>
      </c>
      <c r="T78" s="657">
        <v>0</v>
      </c>
      <c r="U78" s="657">
        <v>0</v>
      </c>
      <c r="V78" s="657">
        <f>IF('Plant Total by Account'!$H$1=1,AE78,IF('Plant Total by Account'!$H$1=2,AM78,"Input Toggle"))</f>
        <v>0</v>
      </c>
      <c r="W78" s="657">
        <f>IF('Plant Total by Account'!$H$1=1,AF78,IF('Plant Total by Account'!$H$1=2,AN78,"Input Toggle"))</f>
        <v>0</v>
      </c>
      <c r="X78" s="657">
        <f>IF('Plant Total by Account'!$H$1=1,AG78,IF('Plant Total by Account'!$H$1=2,AO78,"Input Toggle"))</f>
        <v>0</v>
      </c>
      <c r="Y78" s="657">
        <f t="shared" si="28"/>
        <v>0</v>
      </c>
      <c r="Z78" s="121">
        <f t="shared" si="29"/>
        <v>0</v>
      </c>
      <c r="AA78" s="121">
        <f t="shared" si="30"/>
        <v>0</v>
      </c>
      <c r="AB78" s="657">
        <f>SUMIF('ISO w_System Splits'!$D$8:$D$469,$B78,'ISO w_System Splits'!G$8:G$469)</f>
        <v>0</v>
      </c>
      <c r="AC78" s="657">
        <f>SUMIF('ISO w_System Splits'!$D$8:$D$469,$B78,'ISO w_System Splits'!H$8:H$469)</f>
        <v>0</v>
      </c>
      <c r="AD78" s="657">
        <f>SUMIF('ISO w_System Splits'!$D$8:$D$469,$B78,'ISO w_System Splits'!I$8:I$469)</f>
        <v>0</v>
      </c>
      <c r="AE78" s="657">
        <v>0</v>
      </c>
      <c r="AF78" s="657">
        <v>0</v>
      </c>
      <c r="AG78" s="657">
        <v>0</v>
      </c>
      <c r="AH78" s="130"/>
      <c r="AI78" s="657">
        <f>SUMIF('ISO w_System Splits'!$D$8:$D$615,$B78,'ISO w_System Splits'!G$8:G$615)-SUMIF('ISO w_System Splits'!$D$470:$D$520,$B78,'ISO w_System Splits'!G$470:G$520)</f>
        <v>0</v>
      </c>
      <c r="AJ78" s="657">
        <f>SUMIF('ISO w_System Splits'!$D$8:$D$615,$B78,'ISO w_System Splits'!H$8:H$615)-SUMIF('ISO w_System Splits'!$D$470:$D$520,$B78,'ISO w_System Splits'!H$470:H$520)</f>
        <v>0</v>
      </c>
      <c r="AK78" s="657">
        <f>SUMIF('ISO w_System Splits'!$D$8:$D$615,$B78,'ISO w_System Splits'!I$8:I$615)-SUMIF('ISO w_System Splits'!$D$470:$D$520,$B78,'ISO w_System Splits'!I$470:I$520)</f>
        <v>0</v>
      </c>
      <c r="AL78" s="130"/>
      <c r="AM78" s="657">
        <v>0</v>
      </c>
      <c r="AN78" s="657">
        <v>0</v>
      </c>
      <c r="AO78" s="657">
        <v>0</v>
      </c>
      <c r="AP78" s="130"/>
      <c r="AR78">
        <f t="shared" si="31"/>
        <v>0</v>
      </c>
      <c r="AS78">
        <f t="shared" si="32"/>
        <v>0</v>
      </c>
      <c r="AT78">
        <f t="shared" si="33"/>
        <v>0</v>
      </c>
      <c r="AV78">
        <f t="shared" si="34"/>
        <v>0</v>
      </c>
      <c r="AW78">
        <f t="shared" si="35"/>
        <v>0</v>
      </c>
      <c r="AX78">
        <f t="shared" si="36"/>
        <v>0</v>
      </c>
    </row>
    <row r="79" spans="1:50" ht="15" customHeight="1" x14ac:dyDescent="0.25">
      <c r="A79" t="s">
        <v>525</v>
      </c>
      <c r="B79" s="120">
        <v>4735</v>
      </c>
      <c r="C79" s="1">
        <v>137.69999999999999</v>
      </c>
      <c r="D79" s="1">
        <v>0</v>
      </c>
      <c r="E79" s="1">
        <v>0</v>
      </c>
      <c r="F79" s="1">
        <v>0</v>
      </c>
      <c r="G79" s="1">
        <v>0</v>
      </c>
      <c r="H79" s="1">
        <v>0</v>
      </c>
      <c r="I79" s="152">
        <v>137.69999999999999</v>
      </c>
      <c r="J79" s="121">
        <v>0</v>
      </c>
      <c r="K79" s="121">
        <v>0</v>
      </c>
      <c r="L79" s="121">
        <v>0</v>
      </c>
      <c r="M79" s="657">
        <f>IF('Plant Total by Account'!$H$1=1,AB79,IF('Plant Total by Account'!$H$1=2,AI79,"Input Toggle"))</f>
        <v>0</v>
      </c>
      <c r="N79" s="657">
        <f>IF('Plant Total by Account'!$H$1=1,AC79,IF('Plant Total by Account'!$H$1=2,AJ79,"Input Toggle"))</f>
        <v>0</v>
      </c>
      <c r="O79" s="657">
        <f>IF('Plant Total by Account'!$H$1=1,AD79,IF('Plant Total by Account'!$H$1=2,AK79,"Input Toggle"))</f>
        <v>0</v>
      </c>
      <c r="P79" s="657">
        <f t="shared" si="25"/>
        <v>137.69999999999999</v>
      </c>
      <c r="Q79" s="657">
        <f t="shared" si="26"/>
        <v>0</v>
      </c>
      <c r="R79" s="657">
        <f t="shared" si="27"/>
        <v>0</v>
      </c>
      <c r="S79" s="657">
        <v>0</v>
      </c>
      <c r="T79" s="657">
        <v>0</v>
      </c>
      <c r="U79" s="657">
        <v>0</v>
      </c>
      <c r="V79" s="657">
        <f>IF('Plant Total by Account'!$H$1=1,AE79,IF('Plant Total by Account'!$H$1=2,AM79,"Input Toggle"))</f>
        <v>0</v>
      </c>
      <c r="W79" s="657">
        <f>IF('Plant Total by Account'!$H$1=1,AF79,IF('Plant Total by Account'!$H$1=2,AN79,"Input Toggle"))</f>
        <v>0</v>
      </c>
      <c r="X79" s="657">
        <f>IF('Plant Total by Account'!$H$1=1,AG79,IF('Plant Total by Account'!$H$1=2,AO79,"Input Toggle"))</f>
        <v>0</v>
      </c>
      <c r="Y79" s="657">
        <f t="shared" si="28"/>
        <v>0</v>
      </c>
      <c r="Z79" s="121">
        <f t="shared" si="29"/>
        <v>0</v>
      </c>
      <c r="AA79" s="121">
        <f t="shared" si="30"/>
        <v>0</v>
      </c>
      <c r="AB79" s="657">
        <f>SUMIF('ISO w_System Splits'!$D$8:$D$469,$B79,'ISO w_System Splits'!G$8:G$469)</f>
        <v>0</v>
      </c>
      <c r="AC79" s="657">
        <f>SUMIF('ISO w_System Splits'!$D$8:$D$469,$B79,'ISO w_System Splits'!H$8:H$469)</f>
        <v>0</v>
      </c>
      <c r="AD79" s="657">
        <f>SUMIF('ISO w_System Splits'!$D$8:$D$469,$B79,'ISO w_System Splits'!I$8:I$469)</f>
        <v>0</v>
      </c>
      <c r="AE79" s="657">
        <v>0</v>
      </c>
      <c r="AF79" s="657">
        <v>0</v>
      </c>
      <c r="AG79" s="657">
        <v>0</v>
      </c>
      <c r="AH79" s="130"/>
      <c r="AI79" s="657">
        <f>SUMIF('ISO w_System Splits'!$D$8:$D$615,$B79,'ISO w_System Splits'!G$8:G$615)-SUMIF('ISO w_System Splits'!$D$470:$D$520,$B79,'ISO w_System Splits'!G$470:G$520)</f>
        <v>0</v>
      </c>
      <c r="AJ79" s="657">
        <f>SUMIF('ISO w_System Splits'!$D$8:$D$615,$B79,'ISO w_System Splits'!H$8:H$615)-SUMIF('ISO w_System Splits'!$D$470:$D$520,$B79,'ISO w_System Splits'!H$470:H$520)</f>
        <v>0</v>
      </c>
      <c r="AK79" s="657">
        <f>SUMIF('ISO w_System Splits'!$D$8:$D$615,$B79,'ISO w_System Splits'!I$8:I$615)-SUMIF('ISO w_System Splits'!$D$470:$D$520,$B79,'ISO w_System Splits'!I$470:I$520)</f>
        <v>0</v>
      </c>
      <c r="AL79" s="130"/>
      <c r="AM79" s="657">
        <v>0</v>
      </c>
      <c r="AN79" s="657">
        <v>0</v>
      </c>
      <c r="AO79" s="657">
        <v>0</v>
      </c>
      <c r="AP79" s="130"/>
      <c r="AR79">
        <f t="shared" si="31"/>
        <v>0</v>
      </c>
      <c r="AS79">
        <f t="shared" si="32"/>
        <v>0</v>
      </c>
      <c r="AT79">
        <f t="shared" si="33"/>
        <v>0</v>
      </c>
      <c r="AV79">
        <f t="shared" si="34"/>
        <v>0</v>
      </c>
      <c r="AW79">
        <f t="shared" si="35"/>
        <v>0</v>
      </c>
      <c r="AX79">
        <f t="shared" si="36"/>
        <v>0</v>
      </c>
    </row>
    <row r="80" spans="1:50" ht="15" customHeight="1" x14ac:dyDescent="0.25">
      <c r="A80" t="s">
        <v>1444</v>
      </c>
      <c r="B80" s="120">
        <v>4750</v>
      </c>
      <c r="C80" s="1">
        <v>14315889.140000004</v>
      </c>
      <c r="D80" s="1">
        <v>2901.91</v>
      </c>
      <c r="E80" s="1">
        <v>173059.35</v>
      </c>
      <c r="F80" s="1">
        <v>0</v>
      </c>
      <c r="G80" s="1">
        <v>0</v>
      </c>
      <c r="H80" s="1">
        <v>0</v>
      </c>
      <c r="I80" s="152">
        <v>14491850.400000004</v>
      </c>
      <c r="J80" s="121">
        <v>0</v>
      </c>
      <c r="K80" s="121">
        <v>0</v>
      </c>
      <c r="L80" s="121">
        <v>0</v>
      </c>
      <c r="M80" s="657">
        <f>IF('Plant Total by Account'!$H$1=1,AB80,IF('Plant Total by Account'!$H$1=2,AI80,"Input Toggle"))</f>
        <v>3933969.0247368701</v>
      </c>
      <c r="N80" s="657">
        <f>IF('Plant Total by Account'!$H$1=1,AC80,IF('Plant Total by Account'!$H$1=2,AJ80,"Input Toggle"))</f>
        <v>796.905918808563</v>
      </c>
      <c r="O80" s="657">
        <f>IF('Plant Total by Account'!$H$1=1,AD80,IF('Plant Total by Account'!$H$1=2,AK80,"Input Toggle"))</f>
        <v>118008.8127454514</v>
      </c>
      <c r="P80" s="657">
        <f t="shared" si="25"/>
        <v>10381920.115263134</v>
      </c>
      <c r="Q80" s="657">
        <f t="shared" si="26"/>
        <v>2105.0040811914369</v>
      </c>
      <c r="R80" s="657">
        <f t="shared" si="27"/>
        <v>55050.537254548603</v>
      </c>
      <c r="S80" s="657">
        <v>0</v>
      </c>
      <c r="T80" s="657">
        <v>0</v>
      </c>
      <c r="U80" s="657">
        <v>0</v>
      </c>
      <c r="V80" s="657">
        <f>IF('Plant Total by Account'!$H$1=1,AE80,IF('Plant Total by Account'!$H$1=2,AM80,"Input Toggle"))</f>
        <v>0</v>
      </c>
      <c r="W80" s="657">
        <f>IF('Plant Total by Account'!$H$1=1,AF80,IF('Plant Total by Account'!$H$1=2,AN80,"Input Toggle"))</f>
        <v>0</v>
      </c>
      <c r="X80" s="657">
        <f>IF('Plant Total by Account'!$H$1=1,AG80,IF('Plant Total by Account'!$H$1=2,AO80,"Input Toggle"))</f>
        <v>0</v>
      </c>
      <c r="Y80" s="657">
        <f t="shared" si="28"/>
        <v>0</v>
      </c>
      <c r="Z80" s="121">
        <f t="shared" si="29"/>
        <v>0</v>
      </c>
      <c r="AA80" s="121">
        <f t="shared" si="30"/>
        <v>0</v>
      </c>
      <c r="AB80" s="657">
        <f>SUMIF('ISO w_System Splits'!$D$8:$D$469,$B80,'ISO w_System Splits'!G$8:G$469)</f>
        <v>3933969.0247368715</v>
      </c>
      <c r="AC80" s="657">
        <f>SUMIF('ISO w_System Splits'!$D$8:$D$469,$B80,'ISO w_System Splits'!H$8:H$469)</f>
        <v>796.905918808563</v>
      </c>
      <c r="AD80" s="657">
        <f>SUMIF('ISO w_System Splits'!$D$8:$D$469,$B80,'ISO w_System Splits'!I$8:I$469)</f>
        <v>118008.81274545139</v>
      </c>
      <c r="AE80" s="657">
        <v>0</v>
      </c>
      <c r="AF80" s="657">
        <v>0</v>
      </c>
      <c r="AG80" s="657">
        <v>0</v>
      </c>
      <c r="AH80" s="130"/>
      <c r="AI80" s="657">
        <f>SUMIF('ISO w_System Splits'!$D$8:$D$615,$B80,'ISO w_System Splits'!G$8:G$615)-SUMIF('ISO w_System Splits'!$D$470:$D$520,$B80,'ISO w_System Splits'!G$470:G$520)</f>
        <v>3933969.0247368701</v>
      </c>
      <c r="AJ80" s="657">
        <f>SUMIF('ISO w_System Splits'!$D$8:$D$615,$B80,'ISO w_System Splits'!H$8:H$615)-SUMIF('ISO w_System Splits'!$D$470:$D$520,$B80,'ISO w_System Splits'!H$470:H$520)</f>
        <v>796.905918808563</v>
      </c>
      <c r="AK80" s="657">
        <f>SUMIF('ISO w_System Splits'!$D$8:$D$615,$B80,'ISO w_System Splits'!I$8:I$615)-SUMIF('ISO w_System Splits'!$D$470:$D$520,$B80,'ISO w_System Splits'!I$470:I$520)</f>
        <v>118008.8127454514</v>
      </c>
      <c r="AL80" s="130"/>
      <c r="AM80" s="657">
        <v>0</v>
      </c>
      <c r="AN80" s="657">
        <v>0</v>
      </c>
      <c r="AO80" s="657">
        <v>0</v>
      </c>
      <c r="AP80" s="130"/>
      <c r="AQ80" s="120">
        <v>1</v>
      </c>
      <c r="AR80">
        <f t="shared" si="31"/>
        <v>0</v>
      </c>
      <c r="AS80">
        <f t="shared" si="32"/>
        <v>0</v>
      </c>
      <c r="AT80">
        <f t="shared" si="33"/>
        <v>0</v>
      </c>
      <c r="AV80">
        <f t="shared" si="34"/>
        <v>0</v>
      </c>
      <c r="AW80">
        <f t="shared" si="35"/>
        <v>0</v>
      </c>
      <c r="AX80">
        <f t="shared" si="36"/>
        <v>0</v>
      </c>
    </row>
    <row r="81" spans="1:50" ht="15" customHeight="1" x14ac:dyDescent="0.25">
      <c r="A81" t="s">
        <v>1336</v>
      </c>
      <c r="B81" s="120">
        <v>4756</v>
      </c>
      <c r="C81" s="1">
        <v>1079576.73</v>
      </c>
      <c r="D81" s="1">
        <v>0</v>
      </c>
      <c r="E81" s="1">
        <v>0</v>
      </c>
      <c r="F81" s="1">
        <v>0</v>
      </c>
      <c r="G81" s="1">
        <v>0</v>
      </c>
      <c r="H81" s="1">
        <v>0</v>
      </c>
      <c r="I81" s="152">
        <v>1079576.73</v>
      </c>
      <c r="J81" s="121">
        <v>0</v>
      </c>
      <c r="K81" s="121">
        <v>0</v>
      </c>
      <c r="L81" s="121">
        <v>0</v>
      </c>
      <c r="M81" s="657">
        <f>IF('Plant Total by Account'!$H$1=1,AB81,IF('Plant Total by Account'!$H$1=2,AI81,"Input Toggle"))</f>
        <v>1079559.0700921258</v>
      </c>
      <c r="N81" s="657">
        <f>IF('Plant Total by Account'!$H$1=1,AC81,IF('Plant Total by Account'!$H$1=2,AJ81,"Input Toggle"))</f>
        <v>0</v>
      </c>
      <c r="O81" s="657">
        <f>IF('Plant Total by Account'!$H$1=1,AD81,IF('Plant Total by Account'!$H$1=2,AK81,"Input Toggle"))</f>
        <v>0</v>
      </c>
      <c r="P81" s="657">
        <f t="shared" si="25"/>
        <v>17.659907874185592</v>
      </c>
      <c r="Q81" s="657">
        <f t="shared" si="26"/>
        <v>0</v>
      </c>
      <c r="R81" s="657">
        <f t="shared" si="27"/>
        <v>0</v>
      </c>
      <c r="S81" s="657">
        <v>0</v>
      </c>
      <c r="T81" s="657">
        <v>0</v>
      </c>
      <c r="U81" s="657">
        <v>0</v>
      </c>
      <c r="V81" s="657">
        <f>IF('Plant Total by Account'!$H$1=1,AE81,IF('Plant Total by Account'!$H$1=2,AM81,"Input Toggle"))</f>
        <v>0</v>
      </c>
      <c r="W81" s="657">
        <f>IF('Plant Total by Account'!$H$1=1,AF81,IF('Plant Total by Account'!$H$1=2,AN81,"Input Toggle"))</f>
        <v>0</v>
      </c>
      <c r="X81" s="657">
        <f>IF('Plant Total by Account'!$H$1=1,AG81,IF('Plant Total by Account'!$H$1=2,AO81,"Input Toggle"))</f>
        <v>0</v>
      </c>
      <c r="Y81" s="657">
        <f t="shared" si="28"/>
        <v>0</v>
      </c>
      <c r="Z81" s="121">
        <f t="shared" si="29"/>
        <v>0</v>
      </c>
      <c r="AA81" s="121">
        <f t="shared" si="30"/>
        <v>0</v>
      </c>
      <c r="AB81" s="657">
        <f>SUMIF('ISO w_System Splits'!$D$8:$D$469,$B81,'ISO w_System Splits'!G$8:G$469)</f>
        <v>1079559.0700921258</v>
      </c>
      <c r="AC81" s="657">
        <f>SUMIF('ISO w_System Splits'!$D$8:$D$469,$B81,'ISO w_System Splits'!H$8:H$469)</f>
        <v>0</v>
      </c>
      <c r="AD81" s="657">
        <f>SUMIF('ISO w_System Splits'!$D$8:$D$469,$B81,'ISO w_System Splits'!I$8:I$469)</f>
        <v>0</v>
      </c>
      <c r="AE81" s="657">
        <v>0</v>
      </c>
      <c r="AF81" s="657">
        <v>0</v>
      </c>
      <c r="AG81" s="657">
        <v>0</v>
      </c>
      <c r="AH81" s="130"/>
      <c r="AI81" s="657">
        <f>SUMIF('ISO w_System Splits'!$D$8:$D$615,$B81,'ISO w_System Splits'!G$8:G$615)-SUMIF('ISO w_System Splits'!$D$470:$D$520,$B81,'ISO w_System Splits'!G$470:G$520)</f>
        <v>1079559.0700921258</v>
      </c>
      <c r="AJ81" s="657">
        <f>SUMIF('ISO w_System Splits'!$D$8:$D$615,$B81,'ISO w_System Splits'!H$8:H$615)-SUMIF('ISO w_System Splits'!$D$470:$D$520,$B81,'ISO w_System Splits'!H$470:H$520)</f>
        <v>0</v>
      </c>
      <c r="AK81" s="657">
        <f>SUMIF('ISO w_System Splits'!$D$8:$D$615,$B81,'ISO w_System Splits'!I$8:I$615)-SUMIF('ISO w_System Splits'!$D$470:$D$520,$B81,'ISO w_System Splits'!I$470:I$520)</f>
        <v>0</v>
      </c>
      <c r="AL81" s="130"/>
      <c r="AM81" s="657">
        <v>0</v>
      </c>
      <c r="AN81" s="657">
        <v>0</v>
      </c>
      <c r="AO81" s="657">
        <v>0</v>
      </c>
      <c r="AP81" s="130"/>
      <c r="AR81">
        <f t="shared" si="31"/>
        <v>0</v>
      </c>
      <c r="AS81">
        <f t="shared" si="32"/>
        <v>0</v>
      </c>
      <c r="AT81">
        <f t="shared" si="33"/>
        <v>0</v>
      </c>
      <c r="AV81">
        <f t="shared" si="34"/>
        <v>0</v>
      </c>
      <c r="AW81">
        <f t="shared" si="35"/>
        <v>0</v>
      </c>
      <c r="AX81">
        <f t="shared" si="36"/>
        <v>0</v>
      </c>
    </row>
    <row r="82" spans="1:50" ht="15" customHeight="1" x14ac:dyDescent="0.25">
      <c r="A82" t="s">
        <v>1337</v>
      </c>
      <c r="B82" s="120">
        <v>4759</v>
      </c>
      <c r="C82" s="1">
        <v>33310</v>
      </c>
      <c r="D82" s="1">
        <v>0</v>
      </c>
      <c r="E82" s="1">
        <v>0</v>
      </c>
      <c r="F82" s="1">
        <v>0</v>
      </c>
      <c r="G82" s="1">
        <v>0</v>
      </c>
      <c r="H82" s="1">
        <v>0</v>
      </c>
      <c r="I82" s="152">
        <v>33310</v>
      </c>
      <c r="J82" s="121">
        <v>0</v>
      </c>
      <c r="K82" s="121">
        <v>0</v>
      </c>
      <c r="L82" s="121">
        <v>0</v>
      </c>
      <c r="M82" s="657">
        <f>IF('Plant Total by Account'!$H$1=1,AB82,IF('Plant Total by Account'!$H$1=2,AI82,"Input Toggle"))</f>
        <v>33310</v>
      </c>
      <c r="N82" s="657">
        <f>IF('Plant Total by Account'!$H$1=1,AC82,IF('Plant Total by Account'!$H$1=2,AJ82,"Input Toggle"))</f>
        <v>0</v>
      </c>
      <c r="O82" s="657">
        <f>IF('Plant Total by Account'!$H$1=1,AD82,IF('Plant Total by Account'!$H$1=2,AK82,"Input Toggle"))</f>
        <v>0</v>
      </c>
      <c r="P82" s="657">
        <f t="shared" si="25"/>
        <v>0</v>
      </c>
      <c r="Q82" s="657">
        <f t="shared" si="26"/>
        <v>0</v>
      </c>
      <c r="R82" s="657">
        <f t="shared" si="27"/>
        <v>0</v>
      </c>
      <c r="S82" s="657">
        <v>0</v>
      </c>
      <c r="T82" s="657">
        <v>0</v>
      </c>
      <c r="U82" s="657">
        <v>0</v>
      </c>
      <c r="V82" s="657">
        <f>IF('Plant Total by Account'!$H$1=1,AE82,IF('Plant Total by Account'!$H$1=2,AM82,"Input Toggle"))</f>
        <v>0</v>
      </c>
      <c r="W82" s="657">
        <f>IF('Plant Total by Account'!$H$1=1,AF82,IF('Plant Total by Account'!$H$1=2,AN82,"Input Toggle"))</f>
        <v>0</v>
      </c>
      <c r="X82" s="657">
        <f>IF('Plant Total by Account'!$H$1=1,AG82,IF('Plant Total by Account'!$H$1=2,AO82,"Input Toggle"))</f>
        <v>0</v>
      </c>
      <c r="Y82" s="657">
        <f t="shared" si="28"/>
        <v>0</v>
      </c>
      <c r="Z82" s="121">
        <f t="shared" si="29"/>
        <v>0</v>
      </c>
      <c r="AA82" s="121">
        <f t="shared" si="30"/>
        <v>0</v>
      </c>
      <c r="AB82" s="657">
        <f>SUMIF('ISO w_System Splits'!$D$8:$D$469,$B82,'ISO w_System Splits'!G$8:G$469)</f>
        <v>33310</v>
      </c>
      <c r="AC82" s="657">
        <f>SUMIF('ISO w_System Splits'!$D$8:$D$469,$B82,'ISO w_System Splits'!H$8:H$469)</f>
        <v>0</v>
      </c>
      <c r="AD82" s="657">
        <f>SUMIF('ISO w_System Splits'!$D$8:$D$469,$B82,'ISO w_System Splits'!I$8:I$469)</f>
        <v>0</v>
      </c>
      <c r="AE82" s="657">
        <v>0</v>
      </c>
      <c r="AF82" s="657">
        <v>0</v>
      </c>
      <c r="AG82" s="657">
        <v>0</v>
      </c>
      <c r="AH82" s="130"/>
      <c r="AI82" s="657">
        <f>SUMIF('ISO w_System Splits'!$D$8:$D$615,$B82,'ISO w_System Splits'!G$8:G$615)-SUMIF('ISO w_System Splits'!$D$470:$D$520,$B82,'ISO w_System Splits'!G$470:G$520)</f>
        <v>33310</v>
      </c>
      <c r="AJ82" s="657">
        <f>SUMIF('ISO w_System Splits'!$D$8:$D$615,$B82,'ISO w_System Splits'!H$8:H$615)-SUMIF('ISO w_System Splits'!$D$470:$D$520,$B82,'ISO w_System Splits'!H$470:H$520)</f>
        <v>0</v>
      </c>
      <c r="AK82" s="657">
        <f>SUMIF('ISO w_System Splits'!$D$8:$D$615,$B82,'ISO w_System Splits'!I$8:I$615)-SUMIF('ISO w_System Splits'!$D$470:$D$520,$B82,'ISO w_System Splits'!I$470:I$520)</f>
        <v>0</v>
      </c>
      <c r="AL82" s="130"/>
      <c r="AM82" s="657">
        <v>0</v>
      </c>
      <c r="AN82" s="657">
        <v>0</v>
      </c>
      <c r="AO82" s="657">
        <v>0</v>
      </c>
      <c r="AP82" s="130"/>
      <c r="AR82">
        <f t="shared" si="31"/>
        <v>0</v>
      </c>
      <c r="AS82">
        <f t="shared" si="32"/>
        <v>0</v>
      </c>
      <c r="AT82">
        <f t="shared" si="33"/>
        <v>0</v>
      </c>
      <c r="AV82">
        <f t="shared" si="34"/>
        <v>0</v>
      </c>
      <c r="AW82">
        <f t="shared" si="35"/>
        <v>0</v>
      </c>
      <c r="AX82">
        <f t="shared" si="36"/>
        <v>0</v>
      </c>
    </row>
    <row r="83" spans="1:50" ht="15" customHeight="1" x14ac:dyDescent="0.25">
      <c r="A83" t="s">
        <v>1338</v>
      </c>
      <c r="B83" s="120">
        <v>4781</v>
      </c>
      <c r="C83" s="1">
        <v>1277.33</v>
      </c>
      <c r="D83" s="1">
        <v>0</v>
      </c>
      <c r="E83" s="1">
        <v>0</v>
      </c>
      <c r="F83" s="1">
        <v>0</v>
      </c>
      <c r="G83" s="1">
        <v>0</v>
      </c>
      <c r="H83" s="1">
        <v>0</v>
      </c>
      <c r="I83" s="152">
        <v>1277.33</v>
      </c>
      <c r="J83" s="121">
        <v>0</v>
      </c>
      <c r="K83" s="121">
        <v>0</v>
      </c>
      <c r="L83" s="121">
        <v>0</v>
      </c>
      <c r="M83" s="657">
        <f>IF('Plant Total by Account'!$H$1=1,AB83,IF('Plant Total by Account'!$H$1=2,AI83,"Input Toggle"))</f>
        <v>1277.33</v>
      </c>
      <c r="N83" s="657">
        <f>IF('Plant Total by Account'!$H$1=1,AC83,IF('Plant Total by Account'!$H$1=2,AJ83,"Input Toggle"))</f>
        <v>0</v>
      </c>
      <c r="O83" s="657">
        <f>IF('Plant Total by Account'!$H$1=1,AD83,IF('Plant Total by Account'!$H$1=2,AK83,"Input Toggle"))</f>
        <v>0</v>
      </c>
      <c r="P83" s="657">
        <f t="shared" si="25"/>
        <v>0</v>
      </c>
      <c r="Q83" s="657">
        <f t="shared" si="26"/>
        <v>0</v>
      </c>
      <c r="R83" s="657">
        <f t="shared" si="27"/>
        <v>0</v>
      </c>
      <c r="S83" s="657">
        <v>0</v>
      </c>
      <c r="T83" s="657">
        <v>0</v>
      </c>
      <c r="U83" s="657">
        <v>0</v>
      </c>
      <c r="V83" s="657">
        <f>IF('Plant Total by Account'!$H$1=1,AE83,IF('Plant Total by Account'!$H$1=2,AM83,"Input Toggle"))</f>
        <v>0</v>
      </c>
      <c r="W83" s="657">
        <f>IF('Plant Total by Account'!$H$1=1,AF83,IF('Plant Total by Account'!$H$1=2,AN83,"Input Toggle"))</f>
        <v>0</v>
      </c>
      <c r="X83" s="657">
        <f>IF('Plant Total by Account'!$H$1=1,AG83,IF('Plant Total by Account'!$H$1=2,AO83,"Input Toggle"))</f>
        <v>0</v>
      </c>
      <c r="Y83" s="657">
        <f t="shared" si="28"/>
        <v>0</v>
      </c>
      <c r="Z83" s="121">
        <f t="shared" si="29"/>
        <v>0</v>
      </c>
      <c r="AA83" s="121">
        <f t="shared" si="30"/>
        <v>0</v>
      </c>
      <c r="AB83" s="657">
        <f>SUMIF('ISO w_System Splits'!$D$8:$D$469,$B83,'ISO w_System Splits'!G$8:G$469)</f>
        <v>1277.33</v>
      </c>
      <c r="AC83" s="657">
        <f>SUMIF('ISO w_System Splits'!$D$8:$D$469,$B83,'ISO w_System Splits'!H$8:H$469)</f>
        <v>0</v>
      </c>
      <c r="AD83" s="657">
        <f>SUMIF('ISO w_System Splits'!$D$8:$D$469,$B83,'ISO w_System Splits'!I$8:I$469)</f>
        <v>0</v>
      </c>
      <c r="AE83" s="657">
        <v>0</v>
      </c>
      <c r="AF83" s="657">
        <v>0</v>
      </c>
      <c r="AG83" s="657">
        <v>0</v>
      </c>
      <c r="AH83" s="130"/>
      <c r="AI83" s="657">
        <f>SUMIF('ISO w_System Splits'!$D$8:$D$615,$B83,'ISO w_System Splits'!G$8:G$615)-SUMIF('ISO w_System Splits'!$D$470:$D$520,$B83,'ISO w_System Splits'!G$470:G$520)</f>
        <v>1277.33</v>
      </c>
      <c r="AJ83" s="657">
        <f>SUMIF('ISO w_System Splits'!$D$8:$D$615,$B83,'ISO w_System Splits'!H$8:H$615)-SUMIF('ISO w_System Splits'!$D$470:$D$520,$B83,'ISO w_System Splits'!H$470:H$520)</f>
        <v>0</v>
      </c>
      <c r="AK83" s="657">
        <f>SUMIF('ISO w_System Splits'!$D$8:$D$615,$B83,'ISO w_System Splits'!I$8:I$615)-SUMIF('ISO w_System Splits'!$D$470:$D$520,$B83,'ISO w_System Splits'!I$470:I$520)</f>
        <v>0</v>
      </c>
      <c r="AL83" s="130"/>
      <c r="AM83" s="657">
        <v>0</v>
      </c>
      <c r="AN83" s="657">
        <v>0</v>
      </c>
      <c r="AO83" s="657">
        <v>0</v>
      </c>
      <c r="AP83" s="130"/>
      <c r="AR83">
        <f t="shared" si="31"/>
        <v>0</v>
      </c>
      <c r="AS83">
        <f t="shared" si="32"/>
        <v>0</v>
      </c>
      <c r="AT83">
        <f t="shared" si="33"/>
        <v>0</v>
      </c>
      <c r="AV83">
        <f t="shared" si="34"/>
        <v>0</v>
      </c>
      <c r="AW83">
        <f t="shared" si="35"/>
        <v>0</v>
      </c>
      <c r="AX83">
        <f t="shared" si="36"/>
        <v>0</v>
      </c>
    </row>
    <row r="84" spans="1:50" ht="15" customHeight="1" x14ac:dyDescent="0.25">
      <c r="A84" t="s">
        <v>1339</v>
      </c>
      <c r="B84" s="120">
        <v>4782</v>
      </c>
      <c r="C84" s="1">
        <v>165196.31000000003</v>
      </c>
      <c r="D84" s="1">
        <v>0</v>
      </c>
      <c r="E84" s="1">
        <v>0</v>
      </c>
      <c r="F84" s="1">
        <v>0</v>
      </c>
      <c r="G84" s="1">
        <v>0</v>
      </c>
      <c r="H84" s="1">
        <v>0</v>
      </c>
      <c r="I84" s="152">
        <v>165196.31000000003</v>
      </c>
      <c r="J84" s="121">
        <v>0</v>
      </c>
      <c r="K84" s="121">
        <v>0</v>
      </c>
      <c r="L84" s="121">
        <v>0</v>
      </c>
      <c r="M84" s="657">
        <f>IF('Plant Total by Account'!$H$1=1,AB84,IF('Plant Total by Account'!$H$1=2,AI84,"Input Toggle"))</f>
        <v>165196.31</v>
      </c>
      <c r="N84" s="657">
        <f>IF('Plant Total by Account'!$H$1=1,AC84,IF('Plant Total by Account'!$H$1=2,AJ84,"Input Toggle"))</f>
        <v>0</v>
      </c>
      <c r="O84" s="657">
        <f>IF('Plant Total by Account'!$H$1=1,AD84,IF('Plant Total by Account'!$H$1=2,AK84,"Input Toggle"))</f>
        <v>0</v>
      </c>
      <c r="P84" s="657">
        <f t="shared" si="25"/>
        <v>0</v>
      </c>
      <c r="Q84" s="657">
        <f t="shared" si="26"/>
        <v>0</v>
      </c>
      <c r="R84" s="657">
        <f t="shared" si="27"/>
        <v>0</v>
      </c>
      <c r="S84" s="657">
        <v>0</v>
      </c>
      <c r="T84" s="657">
        <v>0</v>
      </c>
      <c r="U84" s="657">
        <v>0</v>
      </c>
      <c r="V84" s="657">
        <f>IF('Plant Total by Account'!$H$1=1,AE84,IF('Plant Total by Account'!$H$1=2,AM84,"Input Toggle"))</f>
        <v>0</v>
      </c>
      <c r="W84" s="657">
        <f>IF('Plant Total by Account'!$H$1=1,AF84,IF('Plant Total by Account'!$H$1=2,AN84,"Input Toggle"))</f>
        <v>0</v>
      </c>
      <c r="X84" s="657">
        <f>IF('Plant Total by Account'!$H$1=1,AG84,IF('Plant Total by Account'!$H$1=2,AO84,"Input Toggle"))</f>
        <v>0</v>
      </c>
      <c r="Y84" s="657">
        <f t="shared" si="28"/>
        <v>0</v>
      </c>
      <c r="Z84" s="121">
        <f t="shared" si="29"/>
        <v>0</v>
      </c>
      <c r="AA84" s="121">
        <f t="shared" si="30"/>
        <v>0</v>
      </c>
      <c r="AB84" s="657">
        <f>SUMIF('ISO w_System Splits'!$D$8:$D$469,$B84,'ISO w_System Splits'!G$8:G$469)</f>
        <v>165196.31</v>
      </c>
      <c r="AC84" s="657">
        <f>SUMIF('ISO w_System Splits'!$D$8:$D$469,$B84,'ISO w_System Splits'!H$8:H$469)</f>
        <v>0</v>
      </c>
      <c r="AD84" s="657">
        <f>SUMIF('ISO w_System Splits'!$D$8:$D$469,$B84,'ISO w_System Splits'!I$8:I$469)</f>
        <v>0</v>
      </c>
      <c r="AE84" s="657">
        <v>0</v>
      </c>
      <c r="AF84" s="657">
        <v>0</v>
      </c>
      <c r="AG84" s="657">
        <v>0</v>
      </c>
      <c r="AH84" s="130"/>
      <c r="AI84" s="657">
        <f>SUMIF('ISO w_System Splits'!$D$8:$D$615,$B84,'ISO w_System Splits'!G$8:G$615)-SUMIF('ISO w_System Splits'!$D$470:$D$520,$B84,'ISO w_System Splits'!G$470:G$520)</f>
        <v>165196.31</v>
      </c>
      <c r="AJ84" s="657">
        <f>SUMIF('ISO w_System Splits'!$D$8:$D$615,$B84,'ISO w_System Splits'!H$8:H$615)-SUMIF('ISO w_System Splits'!$D$470:$D$520,$B84,'ISO w_System Splits'!H$470:H$520)</f>
        <v>0</v>
      </c>
      <c r="AK84" s="657">
        <f>SUMIF('ISO w_System Splits'!$D$8:$D$615,$B84,'ISO w_System Splits'!I$8:I$615)-SUMIF('ISO w_System Splits'!$D$470:$D$520,$B84,'ISO w_System Splits'!I$470:I$520)</f>
        <v>0</v>
      </c>
      <c r="AL84" s="130"/>
      <c r="AM84" s="657">
        <v>0</v>
      </c>
      <c r="AN84" s="657">
        <v>0</v>
      </c>
      <c r="AO84" s="657">
        <v>0</v>
      </c>
      <c r="AP84" s="130"/>
      <c r="AR84">
        <f t="shared" si="31"/>
        <v>0</v>
      </c>
      <c r="AS84">
        <f t="shared" si="32"/>
        <v>0</v>
      </c>
      <c r="AT84">
        <f t="shared" si="33"/>
        <v>0</v>
      </c>
      <c r="AV84">
        <f t="shared" si="34"/>
        <v>0</v>
      </c>
      <c r="AW84">
        <f t="shared" si="35"/>
        <v>0</v>
      </c>
      <c r="AX84">
        <f t="shared" si="36"/>
        <v>0</v>
      </c>
    </row>
    <row r="85" spans="1:50" x14ac:dyDescent="0.25">
      <c r="M85" s="130"/>
      <c r="N85" s="130"/>
      <c r="O85" s="130"/>
      <c r="P85" s="130"/>
      <c r="Q85" s="130"/>
      <c r="R85" s="130"/>
      <c r="S85" s="130"/>
      <c r="T85" s="130"/>
      <c r="U85" s="130"/>
      <c r="V85" s="130"/>
      <c r="W85" s="130"/>
      <c r="X85" s="130"/>
      <c r="Y85" s="130"/>
    </row>
  </sheetData>
  <autoFilter ref="A4:AQ84"/>
  <mergeCells count="15">
    <mergeCell ref="C2:I2"/>
    <mergeCell ref="J2:L2"/>
    <mergeCell ref="M2:O2"/>
    <mergeCell ref="P2:R2"/>
    <mergeCell ref="AR3:AT3"/>
    <mergeCell ref="AV3:AX3"/>
    <mergeCell ref="S2:U2"/>
    <mergeCell ref="V2:X2"/>
    <mergeCell ref="Y2:AA2"/>
    <mergeCell ref="AI3:AK3"/>
    <mergeCell ref="AM3:AO3"/>
    <mergeCell ref="AI2:AO2"/>
    <mergeCell ref="AB2:AG2"/>
    <mergeCell ref="AB3:AD3"/>
    <mergeCell ref="AE3:AG3"/>
  </mergeCells>
  <phoneticPr fontId="23" type="noConversion"/>
  <pageMargins left="0.7" right="0.7" top="0.75" bottom="0.75" header="0.3" footer="0.3"/>
  <pageSetup scale="47" orientation="portrait" r:id="rId1"/>
  <headerFooter>
    <oddHeader>&amp;RTO8 Annual Update (Revised)
Attachment 2
WP‐Schedule 7-2011 Plant Study
Page &amp;P of &amp;N</oddHeader>
    <oddFooter>&amp;C&amp;A</oddFooter>
  </headerFooter>
  <colBreaks count="3" manualBreakCount="3">
    <brk id="12" max="83" man="1"/>
    <brk id="21" max="83" man="1"/>
    <brk id="4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BP49"/>
  <sheetViews>
    <sheetView zoomScale="85" zoomScaleNormal="85" zoomScaleSheetLayoutView="85" workbookViewId="0">
      <selection activeCell="G7" sqref="G7"/>
    </sheetView>
  </sheetViews>
  <sheetFormatPr defaultColWidth="12" defaultRowHeight="12.75" x14ac:dyDescent="0.2"/>
  <cols>
    <col min="1" max="1" width="21" style="126" customWidth="1"/>
    <col min="2" max="2" width="9.5703125" style="360" bestFit="1" customWidth="1"/>
    <col min="3" max="3" width="4.85546875" style="126" customWidth="1"/>
    <col min="4" max="4" width="9.28515625" style="127" customWidth="1"/>
    <col min="5" max="5" width="4.85546875" style="126" customWidth="1"/>
    <col min="6" max="6" width="11" style="127" customWidth="1"/>
    <col min="7" max="7" width="12.7109375" style="127" customWidth="1"/>
    <col min="8" max="8" width="10" style="127" customWidth="1"/>
    <col min="9" max="9" width="12.42578125" style="127" customWidth="1"/>
    <col min="10" max="10" width="12.7109375" style="127" customWidth="1"/>
    <col min="11" max="12" width="13.5703125" style="127" customWidth="1"/>
    <col min="13" max="13" width="12.7109375" style="127" customWidth="1"/>
    <col min="14" max="14" width="13.5703125" style="127" bestFit="1" customWidth="1"/>
    <col min="15" max="15" width="3.140625" style="127" customWidth="1"/>
    <col min="16" max="16" width="11" style="127" customWidth="1"/>
    <col min="17" max="17" width="12.7109375" style="127" customWidth="1"/>
    <col min="18" max="18" width="10" style="127" customWidth="1"/>
    <col min="19" max="19" width="11" style="127" customWidth="1"/>
    <col min="20" max="20" width="12.7109375" style="127" customWidth="1"/>
    <col min="21" max="22" width="12.42578125" style="127" customWidth="1"/>
    <col min="23" max="23" width="12.7109375" style="127" customWidth="1"/>
    <col min="24" max="24" width="12.42578125" style="127" customWidth="1"/>
    <col min="25" max="25" width="1.42578125" style="126" customWidth="1"/>
    <col min="26" max="26" width="14" style="126" customWidth="1"/>
    <col min="27" max="27" width="2.7109375" style="126" customWidth="1"/>
    <col min="28" max="32" width="14" style="126" customWidth="1"/>
    <col min="33" max="33" width="18.85546875" style="126" bestFit="1" customWidth="1"/>
    <col min="34" max="36" width="14" style="126" customWidth="1"/>
    <col min="37" max="37" width="3.140625" style="126" customWidth="1"/>
    <col min="38" max="40" width="12" style="126" customWidth="1"/>
    <col min="41" max="41" width="12.140625" style="126" bestFit="1" customWidth="1"/>
    <col min="42" max="42" width="12.7109375" style="126" bestFit="1" customWidth="1"/>
    <col min="43" max="44" width="13.85546875" style="126" bestFit="1" customWidth="1"/>
    <col min="45" max="45" width="15" style="126" bestFit="1" customWidth="1"/>
    <col min="46" max="46" width="16" style="126" bestFit="1" customWidth="1"/>
    <col min="47" max="47" width="2.28515625" style="126" customWidth="1"/>
    <col min="48" max="48" width="13.140625" style="126" bestFit="1" customWidth="1"/>
    <col min="49" max="49" width="0.85546875" style="126" customWidth="1"/>
    <col min="50" max="58" width="12" style="126"/>
    <col min="59" max="59" width="1.28515625" style="126" customWidth="1"/>
    <col min="60" max="16384" width="12" style="126"/>
  </cols>
  <sheetData>
    <row r="1" spans="1:68" ht="13.5" customHeight="1" thickBot="1" x14ac:dyDescent="0.25"/>
    <row r="2" spans="1:68" ht="21" thickBot="1" x14ac:dyDescent="0.35">
      <c r="A2" s="687" t="s">
        <v>988</v>
      </c>
      <c r="B2" s="361" t="s">
        <v>1481</v>
      </c>
      <c r="D2" s="825" t="s">
        <v>107</v>
      </c>
      <c r="E2" s="826"/>
      <c r="F2" s="826"/>
      <c r="G2" s="826"/>
      <c r="H2" s="826"/>
      <c r="I2" s="826"/>
      <c r="J2" s="826"/>
      <c r="K2" s="826"/>
      <c r="L2" s="826"/>
      <c r="M2" s="826"/>
      <c r="N2" s="826"/>
      <c r="O2" s="826"/>
      <c r="P2" s="826"/>
      <c r="Q2" s="826"/>
      <c r="R2" s="826"/>
      <c r="S2" s="826"/>
      <c r="T2" s="826"/>
      <c r="U2" s="826"/>
      <c r="V2" s="826"/>
      <c r="W2" s="826"/>
      <c r="X2" s="827"/>
      <c r="Z2" s="834" t="s">
        <v>108</v>
      </c>
      <c r="AA2" s="835"/>
      <c r="AB2" s="835"/>
      <c r="AC2" s="835"/>
      <c r="AD2" s="835"/>
      <c r="AE2" s="835"/>
      <c r="AF2" s="835"/>
      <c r="AG2" s="835"/>
      <c r="AH2" s="835"/>
      <c r="AI2" s="835"/>
      <c r="AJ2" s="835"/>
      <c r="AK2" s="835"/>
      <c r="AL2" s="835"/>
      <c r="AM2" s="835"/>
      <c r="AN2" s="835"/>
      <c r="AO2" s="835"/>
      <c r="AP2" s="835"/>
      <c r="AQ2" s="835"/>
      <c r="AR2" s="835"/>
      <c r="AS2" s="835"/>
      <c r="AT2" s="836"/>
    </row>
    <row r="3" spans="1:68" ht="15.75" thickBot="1" x14ac:dyDescent="0.3">
      <c r="B3" s="362"/>
      <c r="F3" s="138"/>
      <c r="G3" s="138"/>
      <c r="H3" s="138"/>
      <c r="I3" s="138"/>
      <c r="K3" s="138"/>
      <c r="L3" s="138"/>
      <c r="M3" s="138"/>
      <c r="N3" s="138"/>
      <c r="P3" s="129"/>
      <c r="Q3" s="129"/>
      <c r="R3" s="129"/>
      <c r="S3" s="129"/>
      <c r="V3" s="129"/>
      <c r="W3" s="129"/>
      <c r="X3" s="129"/>
    </row>
    <row r="4" spans="1:68" ht="13.5" customHeight="1" thickBot="1" x14ac:dyDescent="0.25">
      <c r="B4" s="362"/>
      <c r="D4" s="140" t="s">
        <v>109</v>
      </c>
      <c r="F4" s="830" t="s">
        <v>797</v>
      </c>
      <c r="G4" s="831"/>
      <c r="H4" s="832"/>
      <c r="I4" s="830" t="s">
        <v>798</v>
      </c>
      <c r="J4" s="831"/>
      <c r="K4" s="832"/>
      <c r="L4" s="830" t="s">
        <v>117</v>
      </c>
      <c r="M4" s="831"/>
      <c r="N4" s="832"/>
      <c r="P4" s="830" t="s">
        <v>797</v>
      </c>
      <c r="Q4" s="831"/>
      <c r="R4" s="832"/>
      <c r="S4" s="830" t="s">
        <v>798</v>
      </c>
      <c r="T4" s="831"/>
      <c r="U4" s="832"/>
      <c r="V4" s="830" t="s">
        <v>117</v>
      </c>
      <c r="W4" s="831"/>
      <c r="X4" s="832"/>
      <c r="Z4" s="140" t="s">
        <v>109</v>
      </c>
      <c r="AB4" s="830" t="s">
        <v>797</v>
      </c>
      <c r="AC4" s="831"/>
      <c r="AD4" s="832"/>
      <c r="AE4" s="830" t="s">
        <v>798</v>
      </c>
      <c r="AF4" s="831"/>
      <c r="AG4" s="832"/>
      <c r="AH4" s="830" t="s">
        <v>117</v>
      </c>
      <c r="AI4" s="831"/>
      <c r="AJ4" s="832"/>
      <c r="AK4" s="127"/>
      <c r="AL4" s="830" t="s">
        <v>797</v>
      </c>
      <c r="AM4" s="831"/>
      <c r="AN4" s="832"/>
      <c r="AO4" s="830" t="s">
        <v>798</v>
      </c>
      <c r="AP4" s="831"/>
      <c r="AQ4" s="832"/>
      <c r="AR4" s="830" t="s">
        <v>117</v>
      </c>
      <c r="AS4" s="831"/>
      <c r="AT4" s="832"/>
      <c r="AX4" s="830" t="s">
        <v>797</v>
      </c>
      <c r="AY4" s="831"/>
      <c r="AZ4" s="832"/>
      <c r="BA4" s="830" t="s">
        <v>798</v>
      </c>
      <c r="BB4" s="831"/>
      <c r="BC4" s="832"/>
      <c r="BD4" s="830" t="s">
        <v>117</v>
      </c>
      <c r="BE4" s="831"/>
      <c r="BF4" s="832"/>
      <c r="BG4" s="127"/>
      <c r="BH4" s="830" t="s">
        <v>797</v>
      </c>
      <c r="BI4" s="831"/>
      <c r="BJ4" s="832"/>
      <c r="BK4" s="830" t="s">
        <v>798</v>
      </c>
      <c r="BL4" s="831"/>
      <c r="BM4" s="832"/>
      <c r="BN4" s="830" t="s">
        <v>117</v>
      </c>
      <c r="BO4" s="831"/>
      <c r="BP4" s="832"/>
    </row>
    <row r="5" spans="1:68" x14ac:dyDescent="0.2">
      <c r="B5" s="362"/>
      <c r="F5" s="127" t="s">
        <v>998</v>
      </c>
      <c r="G5" s="127" t="s">
        <v>995</v>
      </c>
      <c r="H5" s="127" t="s">
        <v>996</v>
      </c>
      <c r="I5" s="127" t="s">
        <v>998</v>
      </c>
      <c r="J5" s="127" t="s">
        <v>995</v>
      </c>
      <c r="K5" s="139" t="s">
        <v>996</v>
      </c>
      <c r="L5" s="139" t="s">
        <v>998</v>
      </c>
      <c r="M5" s="139" t="s">
        <v>995</v>
      </c>
      <c r="N5" s="139" t="s">
        <v>996</v>
      </c>
      <c r="P5" s="127" t="s">
        <v>1445</v>
      </c>
      <c r="Q5" s="127" t="s">
        <v>1457</v>
      </c>
      <c r="R5" s="127" t="s">
        <v>1458</v>
      </c>
      <c r="S5" s="127" t="s">
        <v>1445</v>
      </c>
      <c r="T5" s="127" t="s">
        <v>1457</v>
      </c>
      <c r="U5" s="127" t="s">
        <v>1458</v>
      </c>
      <c r="V5" s="127" t="s">
        <v>1445</v>
      </c>
      <c r="W5" s="127" t="s">
        <v>1457</v>
      </c>
      <c r="X5" s="127" t="s">
        <v>1458</v>
      </c>
      <c r="AB5" s="127" t="s">
        <v>998</v>
      </c>
      <c r="AC5" s="127" t="s">
        <v>995</v>
      </c>
      <c r="AD5" s="127" t="s">
        <v>996</v>
      </c>
      <c r="AE5" s="127" t="s">
        <v>998</v>
      </c>
      <c r="AF5" s="127" t="s">
        <v>995</v>
      </c>
      <c r="AG5" s="139" t="s">
        <v>996</v>
      </c>
      <c r="AH5" s="139" t="s">
        <v>998</v>
      </c>
      <c r="AI5" s="139" t="s">
        <v>995</v>
      </c>
      <c r="AJ5" s="139" t="s">
        <v>996</v>
      </c>
      <c r="AK5" s="127"/>
      <c r="AL5" s="127" t="s">
        <v>1445</v>
      </c>
      <c r="AM5" s="127" t="s">
        <v>1457</v>
      </c>
      <c r="AN5" s="127" t="s">
        <v>1458</v>
      </c>
      <c r="AO5" s="127" t="s">
        <v>1445</v>
      </c>
      <c r="AP5" s="127" t="s">
        <v>1457</v>
      </c>
      <c r="AQ5" s="127" t="s">
        <v>1458</v>
      </c>
      <c r="AR5" s="127" t="s">
        <v>1445</v>
      </c>
      <c r="AS5" s="127" t="s">
        <v>1457</v>
      </c>
      <c r="AT5" s="127" t="s">
        <v>1458</v>
      </c>
      <c r="AX5" s="127" t="s">
        <v>998</v>
      </c>
      <c r="AY5" s="127" t="s">
        <v>995</v>
      </c>
      <c r="AZ5" s="127" t="s">
        <v>996</v>
      </c>
      <c r="BA5" s="127" t="s">
        <v>998</v>
      </c>
      <c r="BB5" s="127" t="s">
        <v>995</v>
      </c>
      <c r="BC5" s="139" t="s">
        <v>996</v>
      </c>
      <c r="BD5" s="139" t="s">
        <v>998</v>
      </c>
      <c r="BE5" s="139" t="s">
        <v>995</v>
      </c>
      <c r="BF5" s="139" t="s">
        <v>996</v>
      </c>
      <c r="BG5" s="127"/>
      <c r="BH5" s="127" t="s">
        <v>1445</v>
      </c>
      <c r="BI5" s="127" t="s">
        <v>1457</v>
      </c>
      <c r="BJ5" s="127" t="s">
        <v>1458</v>
      </c>
      <c r="BK5" s="127" t="s">
        <v>1445</v>
      </c>
      <c r="BL5" s="127" t="s">
        <v>1457</v>
      </c>
      <c r="BM5" s="127" t="s">
        <v>1458</v>
      </c>
      <c r="BN5" s="127" t="s">
        <v>1445</v>
      </c>
      <c r="BO5" s="127" t="s">
        <v>1457</v>
      </c>
      <c r="BP5" s="127" t="s">
        <v>1458</v>
      </c>
    </row>
    <row r="6" spans="1:68" x14ac:dyDescent="0.2">
      <c r="B6" s="362"/>
      <c r="K6" s="139"/>
      <c r="L6" s="139"/>
      <c r="M6" s="139"/>
      <c r="N6" s="139"/>
      <c r="AB6" s="127"/>
      <c r="AC6" s="127"/>
      <c r="AD6" s="127"/>
      <c r="AE6" s="127"/>
      <c r="AF6" s="127"/>
      <c r="AG6" s="127"/>
      <c r="AH6" s="127"/>
      <c r="AI6" s="127"/>
      <c r="AJ6" s="127"/>
      <c r="AK6" s="127"/>
      <c r="AL6" s="127"/>
      <c r="AM6" s="127"/>
      <c r="AN6" s="127"/>
      <c r="AO6" s="127"/>
      <c r="AP6" s="127"/>
      <c r="AQ6" s="127"/>
      <c r="AR6" s="127"/>
      <c r="AS6" s="127"/>
      <c r="AT6" s="127"/>
    </row>
    <row r="7" spans="1:68" ht="15" x14ac:dyDescent="0.25">
      <c r="A7" s="346" t="s">
        <v>3328</v>
      </c>
      <c r="B7" s="362">
        <v>5365</v>
      </c>
      <c r="C7" s="127">
        <v>1</v>
      </c>
      <c r="D7" s="128" t="s">
        <v>1427</v>
      </c>
      <c r="F7" s="141">
        <v>0</v>
      </c>
      <c r="G7" s="141">
        <v>0</v>
      </c>
      <c r="H7" s="141">
        <v>0</v>
      </c>
      <c r="I7" s="141">
        <v>0</v>
      </c>
      <c r="J7" s="141">
        <v>0</v>
      </c>
      <c r="K7" s="141">
        <v>0</v>
      </c>
      <c r="L7" s="141">
        <f>SUMIF('TS by Location'!$B$36:$B$470,$B7,'TS by Location'!$D$36:$D$473)</f>
        <v>24167.43</v>
      </c>
      <c r="M7" s="141">
        <f>SUMIF('TS by Location'!$B$36:$B$470,$B7,'TS by Location'!$E$36:$E$473)</f>
        <v>0</v>
      </c>
      <c r="N7" s="141">
        <f>SUMIF('TS by Location'!$B$36:$B$470,$B7,'TS by Location'!$F$36:$F$473)</f>
        <v>0</v>
      </c>
      <c r="O7" s="483"/>
      <c r="P7" s="142">
        <v>0</v>
      </c>
      <c r="Q7" s="142">
        <v>0</v>
      </c>
      <c r="R7" s="142">
        <v>0</v>
      </c>
      <c r="S7" s="142">
        <v>0</v>
      </c>
      <c r="T7" s="142">
        <v>0</v>
      </c>
      <c r="U7" s="142">
        <v>0</v>
      </c>
      <c r="V7" s="142">
        <f>SUMIF('DS by Location'!$B$9:$B$858,$B7,'DS by Location'!$D$9:$D$858)</f>
        <v>466445.89</v>
      </c>
      <c r="W7" s="142">
        <f>SUMIF('DS by Location'!$B$9:$B$858,$B7,'DS by Location'!$E$9:$E$858)</f>
        <v>2122529.77</v>
      </c>
      <c r="X7" s="142">
        <f>SUMIF('DS by Location'!$B$9:$B$858,$B7,'DS by Location'!$F$9:$F$858)</f>
        <v>8512832.879999999</v>
      </c>
      <c r="Z7" s="128" t="s">
        <v>1482</v>
      </c>
      <c r="AB7" s="453">
        <v>0</v>
      </c>
      <c r="AC7" s="453">
        <v>0</v>
      </c>
      <c r="AD7" s="453">
        <v>0</v>
      </c>
      <c r="AE7" s="484">
        <v>3768.4967583776702</v>
      </c>
      <c r="AF7" s="141">
        <v>0</v>
      </c>
      <c r="AG7" s="141">
        <v>0</v>
      </c>
      <c r="AH7" s="484">
        <v>20398.93324162233</v>
      </c>
      <c r="AI7" s="141">
        <v>0</v>
      </c>
      <c r="AJ7" s="141">
        <v>0</v>
      </c>
      <c r="AK7" s="142"/>
      <c r="AL7" s="142">
        <v>0</v>
      </c>
      <c r="AM7" s="142">
        <v>0</v>
      </c>
      <c r="AN7" s="142">
        <v>0</v>
      </c>
      <c r="AO7" s="142">
        <v>72734.24705993096</v>
      </c>
      <c r="AP7" s="142">
        <v>372807.21491069789</v>
      </c>
      <c r="AQ7" s="142">
        <v>1285595.4232968381</v>
      </c>
      <c r="AR7" s="142">
        <v>393711.64294006902</v>
      </c>
      <c r="AS7" s="142">
        <v>1749722.5550893019</v>
      </c>
      <c r="AT7" s="142">
        <v>7227237.4567031618</v>
      </c>
      <c r="AV7" s="143">
        <f>SUM(F7:X7)-SUM(AB7:AT7)</f>
        <v>0</v>
      </c>
      <c r="AX7" s="126">
        <f t="shared" ref="AX7:AX28" si="0">F:F-AB:AB</f>
        <v>0</v>
      </c>
      <c r="AY7" s="126">
        <f t="shared" ref="AY7:AY28" si="1">G:G-AC:AC</f>
        <v>0</v>
      </c>
      <c r="AZ7" s="126">
        <f t="shared" ref="AZ7:AZ28" si="2">H:H-AD:AD</f>
        <v>0</v>
      </c>
      <c r="BA7" s="126">
        <f t="shared" ref="BA7:BA28" si="3">I:I-AE:AE</f>
        <v>-3768.4967583776702</v>
      </c>
      <c r="BB7" s="126">
        <f t="shared" ref="BB7:BB28" si="4">J:J-AF:AF</f>
        <v>0</v>
      </c>
      <c r="BC7" s="126">
        <f t="shared" ref="BC7:BC28" si="5">K:K-AG:AG</f>
        <v>0</v>
      </c>
      <c r="BD7" s="126">
        <f t="shared" ref="BD7:BD28" si="6">L:L-AH:AH</f>
        <v>3768.4967583776706</v>
      </c>
      <c r="BE7" s="126">
        <f t="shared" ref="BE7:BE28" si="7">M:M-AI:AI</f>
        <v>0</v>
      </c>
      <c r="BF7" s="126">
        <f t="shared" ref="BF7:BF28" si="8">N:N-AJ:AJ</f>
        <v>0</v>
      </c>
      <c r="BH7" s="126">
        <f t="shared" ref="BH7:BH28" si="9">P:P-AL:AL</f>
        <v>0</v>
      </c>
      <c r="BI7" s="126">
        <f t="shared" ref="BI7:BI28" si="10">Q:Q-AM:AM</f>
        <v>0</v>
      </c>
      <c r="BJ7" s="126">
        <f t="shared" ref="BJ7:BJ28" si="11">R:R-AN:AN</f>
        <v>0</v>
      </c>
      <c r="BK7" s="126">
        <f t="shared" ref="BK7:BK28" si="12">S:S-AO:AO</f>
        <v>-72734.24705993096</v>
      </c>
      <c r="BL7" s="126">
        <f t="shared" ref="BL7:BL28" si="13">T:T-AP:AP</f>
        <v>-372807.21491069789</v>
      </c>
      <c r="BM7" s="126">
        <f t="shared" ref="BM7:BM28" si="14">U:U-AQ:AQ</f>
        <v>-1285595.4232968381</v>
      </c>
      <c r="BN7" s="126">
        <f t="shared" ref="BN7:BN28" si="15">V:V-AR:AR</f>
        <v>72734.247059930989</v>
      </c>
      <c r="BO7" s="126">
        <f t="shared" ref="BO7:BO28" si="16">W:W-AS:AS</f>
        <v>372807.21491069812</v>
      </c>
      <c r="BP7" s="126">
        <f t="shared" ref="BP7:BP28" si="17">X:X-AT:AT</f>
        <v>1285595.4232968371</v>
      </c>
    </row>
    <row r="8" spans="1:68" ht="15" x14ac:dyDescent="0.25">
      <c r="A8" s="126" t="s">
        <v>1297</v>
      </c>
      <c r="B8" s="362">
        <v>5539</v>
      </c>
      <c r="C8" s="127">
        <v>1</v>
      </c>
      <c r="D8" s="128" t="s">
        <v>1427</v>
      </c>
      <c r="F8" s="141">
        <v>0</v>
      </c>
      <c r="G8" s="141">
        <v>0</v>
      </c>
      <c r="H8" s="141">
        <v>0</v>
      </c>
      <c r="I8" s="141">
        <v>0</v>
      </c>
      <c r="J8" s="141">
        <v>0</v>
      </c>
      <c r="K8" s="141">
        <v>0</v>
      </c>
      <c r="L8" s="141">
        <f>SUMIF('TS by Location'!$B$36:$B$470,$B8,'TS by Location'!$D$36:$D$473)</f>
        <v>0</v>
      </c>
      <c r="M8" s="141">
        <f>SUMIF('TS by Location'!$B$36:$B$470,$B8,'TS by Location'!$E$36:$E$473)</f>
        <v>0</v>
      </c>
      <c r="N8" s="141">
        <f>SUMIF('TS by Location'!$B$36:$B$470,$B8,'TS by Location'!$F$36:$F$473)</f>
        <v>0</v>
      </c>
      <c r="O8" s="483"/>
      <c r="P8" s="142">
        <v>0</v>
      </c>
      <c r="Q8" s="142">
        <v>0</v>
      </c>
      <c r="R8" s="142">
        <v>0</v>
      </c>
      <c r="S8" s="142">
        <v>0</v>
      </c>
      <c r="T8" s="142">
        <v>0</v>
      </c>
      <c r="U8" s="142">
        <v>0</v>
      </c>
      <c r="V8" s="142">
        <f>SUMIF('DS by Location'!$B$9:$B$858,$B8,'DS by Location'!$D$9:$D$858)</f>
        <v>157.24</v>
      </c>
      <c r="W8" s="142">
        <f>SUMIF('DS by Location'!$B$9:$B$858,$B8,'DS by Location'!$E$9:$E$858)</f>
        <v>740624.81</v>
      </c>
      <c r="X8" s="142">
        <f>SUMIF('DS by Location'!$B$9:$B$858,$B8,'DS by Location'!$F$9:$F$858)</f>
        <v>9961714.4300000053</v>
      </c>
      <c r="Z8" s="128" t="s">
        <v>1482</v>
      </c>
      <c r="AB8" s="141">
        <v>0</v>
      </c>
      <c r="AC8" s="141">
        <v>0</v>
      </c>
      <c r="AD8" s="141">
        <v>0</v>
      </c>
      <c r="AE8" s="141">
        <v>0</v>
      </c>
      <c r="AF8" s="141">
        <v>0</v>
      </c>
      <c r="AG8" s="141">
        <v>0</v>
      </c>
      <c r="AH8" s="141">
        <v>0</v>
      </c>
      <c r="AI8" s="141">
        <v>0</v>
      </c>
      <c r="AJ8" s="141">
        <v>0</v>
      </c>
      <c r="AK8" s="142"/>
      <c r="AL8" s="142">
        <v>0</v>
      </c>
      <c r="AM8" s="142">
        <v>0</v>
      </c>
      <c r="AN8" s="142">
        <v>0</v>
      </c>
      <c r="AO8" s="142">
        <v>1.0846391520791885</v>
      </c>
      <c r="AP8" s="142">
        <v>5108.8187861053793</v>
      </c>
      <c r="AQ8" s="142">
        <v>68715.756121916958</v>
      </c>
      <c r="AR8" s="142">
        <v>156.15536084792083</v>
      </c>
      <c r="AS8" s="142">
        <v>735515.99121389457</v>
      </c>
      <c r="AT8" s="142">
        <v>9892998.6738780886</v>
      </c>
      <c r="AV8" s="143">
        <f t="shared" ref="AV8:AV28" si="18">SUM(F8:X8)-SUM(AB8:AT8)</f>
        <v>0</v>
      </c>
      <c r="AX8" s="126">
        <f t="shared" si="0"/>
        <v>0</v>
      </c>
      <c r="AY8" s="126">
        <f t="shared" si="1"/>
        <v>0</v>
      </c>
      <c r="AZ8" s="126">
        <f t="shared" si="2"/>
        <v>0</v>
      </c>
      <c r="BA8" s="126">
        <f t="shared" si="3"/>
        <v>0</v>
      </c>
      <c r="BB8" s="126">
        <f t="shared" si="4"/>
        <v>0</v>
      </c>
      <c r="BC8" s="126">
        <f t="shared" si="5"/>
        <v>0</v>
      </c>
      <c r="BD8" s="126">
        <f t="shared" si="6"/>
        <v>0</v>
      </c>
      <c r="BE8" s="126">
        <f t="shared" si="7"/>
        <v>0</v>
      </c>
      <c r="BF8" s="126">
        <f t="shared" si="8"/>
        <v>0</v>
      </c>
      <c r="BH8" s="126">
        <f t="shared" si="9"/>
        <v>0</v>
      </c>
      <c r="BI8" s="126">
        <f t="shared" si="10"/>
        <v>0</v>
      </c>
      <c r="BJ8" s="126">
        <f t="shared" si="11"/>
        <v>0</v>
      </c>
      <c r="BK8" s="126">
        <f t="shared" si="12"/>
        <v>-1.0846391520791885</v>
      </c>
      <c r="BL8" s="126">
        <f t="shared" si="13"/>
        <v>-5108.8187861053793</v>
      </c>
      <c r="BM8" s="126">
        <f t="shared" si="14"/>
        <v>-68715.756121916958</v>
      </c>
      <c r="BN8" s="126">
        <f t="shared" si="15"/>
        <v>1.0846391520791769</v>
      </c>
      <c r="BO8" s="126">
        <f t="shared" si="16"/>
        <v>5108.8187861054903</v>
      </c>
      <c r="BP8" s="126">
        <f t="shared" si="17"/>
        <v>68715.756121916696</v>
      </c>
    </row>
    <row r="9" spans="1:68" ht="15" x14ac:dyDescent="0.25">
      <c r="A9" s="126" t="s">
        <v>1298</v>
      </c>
      <c r="B9" s="362">
        <v>5599</v>
      </c>
      <c r="C9" s="127">
        <v>1</v>
      </c>
      <c r="D9" s="128" t="s">
        <v>1427</v>
      </c>
      <c r="F9" s="141">
        <v>0</v>
      </c>
      <c r="G9" s="141">
        <v>0</v>
      </c>
      <c r="H9" s="141">
        <v>0</v>
      </c>
      <c r="I9" s="141">
        <v>0</v>
      </c>
      <c r="J9" s="141">
        <v>0</v>
      </c>
      <c r="K9" s="141">
        <v>0</v>
      </c>
      <c r="L9" s="141">
        <f>SUMIF('TS by Location'!$B$36:$B$470,$B9,'TS by Location'!$D$36:$D$473)</f>
        <v>0</v>
      </c>
      <c r="M9" s="141">
        <f>SUMIF('TS by Location'!$B$36:$B$470,$B9,'TS by Location'!$E$36:$E$473)</f>
        <v>0</v>
      </c>
      <c r="N9" s="141">
        <f>SUMIF('TS by Location'!$B$36:$B$470,$B9,'TS by Location'!$F$36:$F$473)</f>
        <v>488671.30999999994</v>
      </c>
      <c r="O9" s="483"/>
      <c r="P9" s="142">
        <v>0</v>
      </c>
      <c r="Q9" s="142">
        <v>0</v>
      </c>
      <c r="R9" s="142">
        <v>0</v>
      </c>
      <c r="S9" s="142">
        <v>0</v>
      </c>
      <c r="T9" s="142">
        <v>0</v>
      </c>
      <c r="U9" s="142">
        <v>0</v>
      </c>
      <c r="V9" s="142">
        <f>SUMIF('DS by Location'!$B$9:$B$858,$B9,'DS by Location'!$D$9:$D$858)</f>
        <v>0</v>
      </c>
      <c r="W9" s="142">
        <f>SUMIF('DS by Location'!$B$9:$B$858,$B9,'DS by Location'!$E$9:$E$858)</f>
        <v>235231.04</v>
      </c>
      <c r="X9" s="142">
        <f>SUMIF('DS by Location'!$B$9:$B$858,$B9,'DS by Location'!$F$9:$F$858)</f>
        <v>2232856.44</v>
      </c>
      <c r="Z9" s="128" t="s">
        <v>1482</v>
      </c>
      <c r="AB9" s="141">
        <v>0</v>
      </c>
      <c r="AC9" s="141">
        <v>0</v>
      </c>
      <c r="AD9" s="141">
        <v>0</v>
      </c>
      <c r="AE9" s="141">
        <v>0</v>
      </c>
      <c r="AF9" s="141">
        <v>0</v>
      </c>
      <c r="AG9" s="141">
        <v>346134.01</v>
      </c>
      <c r="AH9" s="141">
        <v>0</v>
      </c>
      <c r="AI9" s="141">
        <v>0</v>
      </c>
      <c r="AJ9" s="141">
        <v>142537.30000000002</v>
      </c>
      <c r="AK9" s="142"/>
      <c r="AL9" s="142">
        <v>0</v>
      </c>
      <c r="AM9" s="142">
        <v>0</v>
      </c>
      <c r="AN9" s="142">
        <v>0</v>
      </c>
      <c r="AO9" s="142">
        <v>0</v>
      </c>
      <c r="AP9" s="142">
        <v>31900.902310198711</v>
      </c>
      <c r="AQ9" s="142">
        <v>22946.494372403009</v>
      </c>
      <c r="AR9" s="142">
        <v>0</v>
      </c>
      <c r="AS9" s="142">
        <v>203330.13768980125</v>
      </c>
      <c r="AT9" s="142">
        <v>2209909.9456275972</v>
      </c>
      <c r="AV9" s="143">
        <f>SUM(F9:X9)-SUM(AE9:AT9)</f>
        <v>0</v>
      </c>
      <c r="AX9" s="126">
        <f t="shared" si="0"/>
        <v>0</v>
      </c>
      <c r="AY9" s="126">
        <f t="shared" si="1"/>
        <v>0</v>
      </c>
      <c r="AZ9" s="126">
        <f t="shared" si="2"/>
        <v>0</v>
      </c>
      <c r="BA9" s="126">
        <f t="shared" si="3"/>
        <v>0</v>
      </c>
      <c r="BB9" s="126">
        <f t="shared" si="4"/>
        <v>0</v>
      </c>
      <c r="BC9" s="126">
        <f t="shared" si="5"/>
        <v>-346134.01</v>
      </c>
      <c r="BD9" s="126">
        <f t="shared" si="6"/>
        <v>0</v>
      </c>
      <c r="BE9" s="126">
        <f t="shared" si="7"/>
        <v>0</v>
      </c>
      <c r="BF9" s="126">
        <f t="shared" si="8"/>
        <v>346134.00999999989</v>
      </c>
      <c r="BH9" s="126">
        <f t="shared" si="9"/>
        <v>0</v>
      </c>
      <c r="BI9" s="126">
        <f t="shared" si="10"/>
        <v>0</v>
      </c>
      <c r="BJ9" s="126">
        <f t="shared" si="11"/>
        <v>0</v>
      </c>
      <c r="BK9" s="126">
        <f t="shared" si="12"/>
        <v>0</v>
      </c>
      <c r="BL9" s="126">
        <f t="shared" si="13"/>
        <v>-31900.902310198711</v>
      </c>
      <c r="BM9" s="126">
        <f t="shared" si="14"/>
        <v>-22946.494372403009</v>
      </c>
      <c r="BN9" s="126">
        <f t="shared" si="15"/>
        <v>0</v>
      </c>
      <c r="BO9" s="126">
        <f t="shared" si="16"/>
        <v>31900.902310198755</v>
      </c>
      <c r="BP9" s="126">
        <f t="shared" si="17"/>
        <v>22946.494372402783</v>
      </c>
    </row>
    <row r="10" spans="1:68" ht="15" x14ac:dyDescent="0.25">
      <c r="A10" s="126" t="s">
        <v>1299</v>
      </c>
      <c r="B10" s="362">
        <v>5564</v>
      </c>
      <c r="C10" s="127">
        <v>1</v>
      </c>
      <c r="D10" s="128" t="s">
        <v>1427</v>
      </c>
      <c r="F10" s="141">
        <v>0</v>
      </c>
      <c r="G10" s="141">
        <v>0</v>
      </c>
      <c r="H10" s="141">
        <v>0</v>
      </c>
      <c r="I10" s="141">
        <v>0</v>
      </c>
      <c r="J10" s="141">
        <v>0</v>
      </c>
      <c r="K10" s="141">
        <v>0</v>
      </c>
      <c r="L10" s="141">
        <f>SUMIF('TS by Location'!$B$36:$B$470,$B10,'TS by Location'!$D$36:$D$473)</f>
        <v>0</v>
      </c>
      <c r="M10" s="141">
        <f>SUMIF('TS by Location'!$B$36:$B$470,$B10,'TS by Location'!$E$36:$E$473)</f>
        <v>0</v>
      </c>
      <c r="N10" s="141">
        <f>SUMIF('TS by Location'!$B$36:$B$470,$B10,'TS by Location'!$F$36:$F$473)</f>
        <v>713949.48</v>
      </c>
      <c r="O10" s="483"/>
      <c r="P10" s="142">
        <v>0</v>
      </c>
      <c r="Q10" s="142">
        <v>0</v>
      </c>
      <c r="R10" s="142">
        <v>0</v>
      </c>
      <c r="S10" s="142">
        <v>0</v>
      </c>
      <c r="T10" s="142">
        <v>0</v>
      </c>
      <c r="U10" s="142">
        <v>0</v>
      </c>
      <c r="V10" s="142">
        <f>SUMIF('DS by Location'!$B$9:$B$858,$B10,'DS by Location'!$D$9:$D$858)</f>
        <v>62303.26</v>
      </c>
      <c r="W10" s="142">
        <f>SUMIF('DS by Location'!$B$9:$B$858,$B10,'DS by Location'!$E$9:$E$858)</f>
        <v>433884.24000000011</v>
      </c>
      <c r="X10" s="142">
        <f>SUMIF('DS by Location'!$B$9:$B$858,$B10,'DS by Location'!$F$9:$F$858)</f>
        <v>7508731.7900000019</v>
      </c>
      <c r="Z10" s="128" t="s">
        <v>1482</v>
      </c>
      <c r="AB10" s="141">
        <v>0</v>
      </c>
      <c r="AC10" s="141">
        <v>0</v>
      </c>
      <c r="AD10" s="141">
        <v>0</v>
      </c>
      <c r="AE10" s="141">
        <v>0</v>
      </c>
      <c r="AF10" s="141">
        <v>0</v>
      </c>
      <c r="AG10" s="141">
        <v>688370.26042784587</v>
      </c>
      <c r="AH10" s="141">
        <v>0</v>
      </c>
      <c r="AI10" s="141">
        <v>0</v>
      </c>
      <c r="AJ10" s="141">
        <v>25579.21957215423</v>
      </c>
      <c r="AK10" s="142"/>
      <c r="AL10" s="142">
        <v>0</v>
      </c>
      <c r="AM10" s="142">
        <v>0</v>
      </c>
      <c r="AN10" s="142">
        <v>0</v>
      </c>
      <c r="AO10" s="142">
        <v>7222.5745301328134</v>
      </c>
      <c r="AP10" s="142">
        <v>11805.735983857847</v>
      </c>
      <c r="AQ10" s="142">
        <v>303345.96328915574</v>
      </c>
      <c r="AR10" s="142">
        <v>55080.685469867189</v>
      </c>
      <c r="AS10" s="142">
        <v>422078.50401614216</v>
      </c>
      <c r="AT10" s="142">
        <v>7205385.8267108453</v>
      </c>
      <c r="AV10" s="143">
        <f t="shared" si="18"/>
        <v>0</v>
      </c>
      <c r="AX10" s="126">
        <f t="shared" si="0"/>
        <v>0</v>
      </c>
      <c r="AY10" s="126">
        <f t="shared" si="1"/>
        <v>0</v>
      </c>
      <c r="AZ10" s="126">
        <f t="shared" si="2"/>
        <v>0</v>
      </c>
      <c r="BA10" s="126">
        <f t="shared" si="3"/>
        <v>0</v>
      </c>
      <c r="BB10" s="126">
        <f t="shared" si="4"/>
        <v>0</v>
      </c>
      <c r="BC10" s="126">
        <f t="shared" si="5"/>
        <v>-688370.26042784587</v>
      </c>
      <c r="BD10" s="126">
        <f t="shared" si="6"/>
        <v>0</v>
      </c>
      <c r="BE10" s="126">
        <f t="shared" si="7"/>
        <v>0</v>
      </c>
      <c r="BF10" s="126">
        <f t="shared" si="8"/>
        <v>688370.26042784576</v>
      </c>
      <c r="BH10" s="126">
        <f t="shared" si="9"/>
        <v>0</v>
      </c>
      <c r="BI10" s="126">
        <f t="shared" si="10"/>
        <v>0</v>
      </c>
      <c r="BJ10" s="126">
        <f t="shared" si="11"/>
        <v>0</v>
      </c>
      <c r="BK10" s="126">
        <f t="shared" si="12"/>
        <v>-7222.5745301328134</v>
      </c>
      <c r="BL10" s="126">
        <f t="shared" si="13"/>
        <v>-11805.735983857847</v>
      </c>
      <c r="BM10" s="126">
        <f t="shared" si="14"/>
        <v>-303345.96328915574</v>
      </c>
      <c r="BN10" s="126">
        <f t="shared" si="15"/>
        <v>7222.5745301328134</v>
      </c>
      <c r="BO10" s="126">
        <f t="shared" si="16"/>
        <v>11805.735983857943</v>
      </c>
      <c r="BP10" s="126">
        <f t="shared" si="17"/>
        <v>303345.96328915656</v>
      </c>
    </row>
    <row r="11" spans="1:68" ht="15" x14ac:dyDescent="0.25">
      <c r="A11" s="126" t="s">
        <v>1300</v>
      </c>
      <c r="B11" s="362">
        <v>5518</v>
      </c>
      <c r="C11" s="127">
        <v>1</v>
      </c>
      <c r="D11" s="128" t="s">
        <v>1427</v>
      </c>
      <c r="F11" s="141">
        <v>0</v>
      </c>
      <c r="G11" s="141">
        <v>0</v>
      </c>
      <c r="H11" s="141">
        <v>0</v>
      </c>
      <c r="I11" s="141">
        <v>0</v>
      </c>
      <c r="J11" s="141">
        <v>0</v>
      </c>
      <c r="K11" s="141">
        <v>0</v>
      </c>
      <c r="L11" s="141">
        <f>SUMIF('TS by Location'!$B$36:$B$470,$B11,'TS by Location'!$D$36:$D$473)</f>
        <v>0</v>
      </c>
      <c r="M11" s="141">
        <f>SUMIF('TS by Location'!$B$36:$B$470,$B11,'TS by Location'!$E$36:$E$473)</f>
        <v>0</v>
      </c>
      <c r="N11" s="141">
        <f>SUMIF('TS by Location'!$B$36:$B$470,$B11,'TS by Location'!$F$36:$F$473)</f>
        <v>1176404.3500000001</v>
      </c>
      <c r="O11" s="483"/>
      <c r="P11" s="142">
        <v>0</v>
      </c>
      <c r="Q11" s="142">
        <v>0</v>
      </c>
      <c r="R11" s="142">
        <v>0</v>
      </c>
      <c r="S11" s="142">
        <v>0</v>
      </c>
      <c r="T11" s="142">
        <v>0</v>
      </c>
      <c r="U11" s="142">
        <v>0</v>
      </c>
      <c r="V11" s="142">
        <f>SUMIF('DS by Location'!$B$9:$B$858,$B11,'DS by Location'!$D$9:$D$858)</f>
        <v>442.59000000000003</v>
      </c>
      <c r="W11" s="142">
        <f>SUMIF('DS by Location'!$B$9:$B$858,$B11,'DS by Location'!$E$9:$E$858)</f>
        <v>367752.41</v>
      </c>
      <c r="X11" s="142">
        <f>SUMIF('DS by Location'!$B$9:$B$858,$B11,'DS by Location'!$F$9:$F$858)</f>
        <v>8625515.0299999993</v>
      </c>
      <c r="Z11" s="128" t="s">
        <v>1482</v>
      </c>
      <c r="AB11" s="141">
        <v>0</v>
      </c>
      <c r="AC11" s="141">
        <v>0</v>
      </c>
      <c r="AD11" s="141">
        <v>0</v>
      </c>
      <c r="AE11" s="141">
        <v>0</v>
      </c>
      <c r="AF11" s="141">
        <v>0</v>
      </c>
      <c r="AG11" s="141">
        <v>379880.82524216734</v>
      </c>
      <c r="AH11" s="141">
        <v>0</v>
      </c>
      <c r="AI11" s="141">
        <v>0</v>
      </c>
      <c r="AJ11" s="141">
        <v>796523.52475783275</v>
      </c>
      <c r="AK11" s="142"/>
      <c r="AL11" s="142">
        <v>0</v>
      </c>
      <c r="AM11" s="142">
        <v>0</v>
      </c>
      <c r="AN11" s="142">
        <v>0</v>
      </c>
      <c r="AO11" s="142">
        <v>66.592384212837445</v>
      </c>
      <c r="AP11" s="142">
        <v>48835.822704476617</v>
      </c>
      <c r="AQ11" s="142">
        <v>1101418.8977234671</v>
      </c>
      <c r="AR11" s="142">
        <v>375.99761578716249</v>
      </c>
      <c r="AS11" s="142">
        <v>318916.58729552338</v>
      </c>
      <c r="AT11" s="142">
        <v>7524096.1322765332</v>
      </c>
      <c r="AV11" s="143">
        <f t="shared" si="18"/>
        <v>0</v>
      </c>
      <c r="AX11" s="126">
        <f t="shared" si="0"/>
        <v>0</v>
      </c>
      <c r="AY11" s="126">
        <f t="shared" si="1"/>
        <v>0</v>
      </c>
      <c r="AZ11" s="126">
        <f t="shared" si="2"/>
        <v>0</v>
      </c>
      <c r="BA11" s="126">
        <f t="shared" si="3"/>
        <v>0</v>
      </c>
      <c r="BB11" s="126">
        <f t="shared" si="4"/>
        <v>0</v>
      </c>
      <c r="BC11" s="126">
        <f t="shared" si="5"/>
        <v>-379880.82524216734</v>
      </c>
      <c r="BD11" s="126">
        <f t="shared" si="6"/>
        <v>0</v>
      </c>
      <c r="BE11" s="126">
        <f t="shared" si="7"/>
        <v>0</v>
      </c>
      <c r="BF11" s="126">
        <f t="shared" si="8"/>
        <v>379880.82524216734</v>
      </c>
      <c r="BH11" s="126">
        <f t="shared" si="9"/>
        <v>0</v>
      </c>
      <c r="BI11" s="126">
        <f t="shared" si="10"/>
        <v>0</v>
      </c>
      <c r="BJ11" s="126">
        <f t="shared" si="11"/>
        <v>0</v>
      </c>
      <c r="BK11" s="126">
        <f t="shared" si="12"/>
        <v>-66.592384212837445</v>
      </c>
      <c r="BL11" s="126">
        <f t="shared" si="13"/>
        <v>-48835.822704476617</v>
      </c>
      <c r="BM11" s="126">
        <f t="shared" si="14"/>
        <v>-1101418.8977234671</v>
      </c>
      <c r="BN11" s="126">
        <f t="shared" si="15"/>
        <v>66.592384212837544</v>
      </c>
      <c r="BO11" s="126">
        <f t="shared" si="16"/>
        <v>48835.822704476595</v>
      </c>
      <c r="BP11" s="126">
        <f t="shared" si="17"/>
        <v>1101418.8977234662</v>
      </c>
    </row>
    <row r="12" spans="1:68" ht="15" x14ac:dyDescent="0.25">
      <c r="A12" s="126" t="s">
        <v>1301</v>
      </c>
      <c r="B12" s="362">
        <v>5522</v>
      </c>
      <c r="C12" s="127">
        <v>1</v>
      </c>
      <c r="D12" s="128" t="s">
        <v>1427</v>
      </c>
      <c r="F12" s="141">
        <v>0</v>
      </c>
      <c r="G12" s="141">
        <v>0</v>
      </c>
      <c r="H12" s="141">
        <v>0</v>
      </c>
      <c r="I12" s="141">
        <v>0</v>
      </c>
      <c r="J12" s="141">
        <v>0</v>
      </c>
      <c r="K12" s="141">
        <v>0</v>
      </c>
      <c r="L12" s="141">
        <f>SUMIF('TS by Location'!$B$36:$B$470,$B12,'TS by Location'!$D$36:$D$473)</f>
        <v>0</v>
      </c>
      <c r="M12" s="141">
        <f>SUMIF('TS by Location'!$B$36:$B$470,$B12,'TS by Location'!$E$36:$E$473)</f>
        <v>0</v>
      </c>
      <c r="N12" s="141">
        <f>SUMIF('TS by Location'!$B$36:$B$470,$B12,'TS by Location'!$F$36:$F$473)</f>
        <v>1018975.8400000002</v>
      </c>
      <c r="O12" s="483"/>
      <c r="P12" s="142">
        <v>0</v>
      </c>
      <c r="Q12" s="142">
        <v>0</v>
      </c>
      <c r="R12" s="142">
        <v>0</v>
      </c>
      <c r="S12" s="142">
        <v>0</v>
      </c>
      <c r="T12" s="142">
        <v>0</v>
      </c>
      <c r="U12" s="142">
        <v>0</v>
      </c>
      <c r="V12" s="142">
        <f>SUMIF('DS by Location'!$B$9:$B$858,$B12,'DS by Location'!$D$9:$D$858)</f>
        <v>11913.320000000002</v>
      </c>
      <c r="W12" s="142">
        <f>SUMIF('DS by Location'!$B$9:$B$858,$B12,'DS by Location'!$E$9:$E$858)</f>
        <v>432520.58</v>
      </c>
      <c r="X12" s="142">
        <f>SUMIF('DS by Location'!$B$9:$B$858,$B12,'DS by Location'!$F$9:$F$858)</f>
        <v>7623460.3700000048</v>
      </c>
      <c r="Z12" s="128" t="s">
        <v>1482</v>
      </c>
      <c r="AB12" s="141">
        <v>0</v>
      </c>
      <c r="AC12" s="141">
        <v>0</v>
      </c>
      <c r="AD12" s="141">
        <v>0</v>
      </c>
      <c r="AE12" s="141">
        <v>0</v>
      </c>
      <c r="AF12" s="141">
        <v>0</v>
      </c>
      <c r="AG12" s="141">
        <v>798317.91000000015</v>
      </c>
      <c r="AH12" s="141">
        <v>0</v>
      </c>
      <c r="AI12" s="141">
        <v>0</v>
      </c>
      <c r="AJ12" s="141">
        <v>220657.93</v>
      </c>
      <c r="AK12" s="142"/>
      <c r="AL12" s="142">
        <v>0</v>
      </c>
      <c r="AM12" s="142">
        <v>0</v>
      </c>
      <c r="AN12" s="142">
        <v>0</v>
      </c>
      <c r="AO12" s="142">
        <v>1100.4555304159082</v>
      </c>
      <c r="AP12" s="142">
        <v>39952.730580534757</v>
      </c>
      <c r="AQ12" s="142">
        <v>0</v>
      </c>
      <c r="AR12" s="142">
        <v>10812.864469584092</v>
      </c>
      <c r="AS12" s="142">
        <v>392567.84941946529</v>
      </c>
      <c r="AT12" s="142">
        <v>7623460.370000001</v>
      </c>
      <c r="AV12" s="143">
        <f t="shared" si="18"/>
        <v>0</v>
      </c>
      <c r="AX12" s="126">
        <f t="shared" si="0"/>
        <v>0</v>
      </c>
      <c r="AY12" s="126">
        <f t="shared" si="1"/>
        <v>0</v>
      </c>
      <c r="AZ12" s="126">
        <f t="shared" si="2"/>
        <v>0</v>
      </c>
      <c r="BA12" s="126">
        <f t="shared" si="3"/>
        <v>0</v>
      </c>
      <c r="BB12" s="126">
        <f t="shared" si="4"/>
        <v>0</v>
      </c>
      <c r="BC12" s="126">
        <f t="shared" si="5"/>
        <v>-798317.91000000015</v>
      </c>
      <c r="BD12" s="126">
        <f t="shared" si="6"/>
        <v>0</v>
      </c>
      <c r="BE12" s="126">
        <f t="shared" si="7"/>
        <v>0</v>
      </c>
      <c r="BF12" s="126">
        <f t="shared" si="8"/>
        <v>798317.91000000015</v>
      </c>
      <c r="BH12" s="126">
        <f t="shared" si="9"/>
        <v>0</v>
      </c>
      <c r="BI12" s="126">
        <f t="shared" si="10"/>
        <v>0</v>
      </c>
      <c r="BJ12" s="126">
        <f t="shared" si="11"/>
        <v>0</v>
      </c>
      <c r="BK12" s="126">
        <f t="shared" si="12"/>
        <v>-1100.4555304159082</v>
      </c>
      <c r="BL12" s="126">
        <f t="shared" si="13"/>
        <v>-39952.730580534757</v>
      </c>
      <c r="BM12" s="126">
        <f t="shared" si="14"/>
        <v>0</v>
      </c>
      <c r="BN12" s="126">
        <f t="shared" si="15"/>
        <v>1100.4555304159094</v>
      </c>
      <c r="BO12" s="126">
        <f t="shared" si="16"/>
        <v>39952.730580534728</v>
      </c>
      <c r="BP12" s="126">
        <f t="shared" si="17"/>
        <v>0</v>
      </c>
    </row>
    <row r="13" spans="1:68" ht="15" x14ac:dyDescent="0.25">
      <c r="A13" s="126" t="s">
        <v>1302</v>
      </c>
      <c r="B13" s="362">
        <v>5548</v>
      </c>
      <c r="C13" s="127">
        <v>1</v>
      </c>
      <c r="D13" s="128" t="s">
        <v>1427</v>
      </c>
      <c r="F13" s="141">
        <v>0</v>
      </c>
      <c r="G13" s="141">
        <v>0</v>
      </c>
      <c r="H13" s="141">
        <v>0</v>
      </c>
      <c r="I13" s="141">
        <v>0</v>
      </c>
      <c r="J13" s="141">
        <v>0</v>
      </c>
      <c r="K13" s="141">
        <v>0</v>
      </c>
      <c r="L13" s="141">
        <f>SUMIF('TS by Location'!$B$36:$B$470,$B13,'TS by Location'!$D$36:$D$473)</f>
        <v>0</v>
      </c>
      <c r="M13" s="141">
        <f>SUMIF('TS by Location'!$B$36:$B$470,$B13,'TS by Location'!$E$36:$E$473)</f>
        <v>0</v>
      </c>
      <c r="N13" s="141">
        <f>SUMIF('TS by Location'!$B$36:$B$470,$B13,'TS by Location'!$F$36:$F$473)</f>
        <v>618665.22</v>
      </c>
      <c r="O13" s="483"/>
      <c r="P13" s="142">
        <v>0</v>
      </c>
      <c r="Q13" s="142">
        <v>0</v>
      </c>
      <c r="R13" s="142">
        <v>0</v>
      </c>
      <c r="S13" s="142">
        <v>0</v>
      </c>
      <c r="T13" s="142">
        <v>0</v>
      </c>
      <c r="U13" s="142">
        <v>0</v>
      </c>
      <c r="V13" s="142">
        <f>SUMIF('DS by Location'!$B$9:$B$858,$B13,'DS by Location'!$D$9:$D$858)</f>
        <v>5187.7700000000004</v>
      </c>
      <c r="W13" s="142">
        <f>SUMIF('DS by Location'!$B$9:$B$858,$B13,'DS by Location'!$E$9:$E$858)</f>
        <v>1523549.6300000001</v>
      </c>
      <c r="X13" s="142">
        <f>SUMIF('DS by Location'!$B$9:$B$858,$B13,'DS by Location'!$F$9:$F$858)</f>
        <v>9254860.1899999995</v>
      </c>
      <c r="Z13" s="128" t="s">
        <v>1482</v>
      </c>
      <c r="AB13" s="141">
        <v>0</v>
      </c>
      <c r="AC13" s="141">
        <v>0</v>
      </c>
      <c r="AD13" s="141">
        <v>0</v>
      </c>
      <c r="AE13" s="141">
        <v>0</v>
      </c>
      <c r="AF13" s="141">
        <v>0</v>
      </c>
      <c r="AG13" s="141">
        <v>395907.39046852052</v>
      </c>
      <c r="AH13" s="141">
        <v>0</v>
      </c>
      <c r="AI13" s="141">
        <v>0</v>
      </c>
      <c r="AJ13" s="141">
        <v>222757.82953147951</v>
      </c>
      <c r="AK13" s="142"/>
      <c r="AL13" s="142">
        <v>0</v>
      </c>
      <c r="AM13" s="142">
        <v>0</v>
      </c>
      <c r="AN13" s="142">
        <v>0</v>
      </c>
      <c r="AO13" s="142">
        <v>332.44417730393059</v>
      </c>
      <c r="AP13" s="142">
        <v>45626.588267559644</v>
      </c>
      <c r="AQ13" s="142">
        <v>288816.67970559344</v>
      </c>
      <c r="AR13" s="142">
        <v>4855.3258226960697</v>
      </c>
      <c r="AS13" s="142">
        <v>1477923.0417324402</v>
      </c>
      <c r="AT13" s="142">
        <v>8966043.5102944057</v>
      </c>
      <c r="AV13" s="143">
        <f t="shared" si="18"/>
        <v>0</v>
      </c>
      <c r="AX13" s="126">
        <f t="shared" si="0"/>
        <v>0</v>
      </c>
      <c r="AY13" s="126">
        <f t="shared" si="1"/>
        <v>0</v>
      </c>
      <c r="AZ13" s="126">
        <f t="shared" si="2"/>
        <v>0</v>
      </c>
      <c r="BA13" s="126">
        <f t="shared" si="3"/>
        <v>0</v>
      </c>
      <c r="BB13" s="126">
        <f t="shared" si="4"/>
        <v>0</v>
      </c>
      <c r="BC13" s="126">
        <f t="shared" si="5"/>
        <v>-395907.39046852052</v>
      </c>
      <c r="BD13" s="126">
        <f t="shared" si="6"/>
        <v>0</v>
      </c>
      <c r="BE13" s="126">
        <f t="shared" si="7"/>
        <v>0</v>
      </c>
      <c r="BF13" s="126">
        <f t="shared" si="8"/>
        <v>395907.39046852046</v>
      </c>
      <c r="BH13" s="126">
        <f t="shared" si="9"/>
        <v>0</v>
      </c>
      <c r="BI13" s="126">
        <f t="shared" si="10"/>
        <v>0</v>
      </c>
      <c r="BJ13" s="126">
        <f t="shared" si="11"/>
        <v>0</v>
      </c>
      <c r="BK13" s="126">
        <f t="shared" si="12"/>
        <v>-332.44417730393059</v>
      </c>
      <c r="BL13" s="126">
        <f t="shared" si="13"/>
        <v>-45626.588267559644</v>
      </c>
      <c r="BM13" s="126">
        <f t="shared" si="14"/>
        <v>-288816.67970559344</v>
      </c>
      <c r="BN13" s="126">
        <f t="shared" si="15"/>
        <v>332.4441773039307</v>
      </c>
      <c r="BO13" s="126">
        <f t="shared" si="16"/>
        <v>45626.588267559884</v>
      </c>
      <c r="BP13" s="126">
        <f t="shared" si="17"/>
        <v>288816.67970559373</v>
      </c>
    </row>
    <row r="14" spans="1:68" ht="15" x14ac:dyDescent="0.25">
      <c r="A14" s="126" t="s">
        <v>1303</v>
      </c>
      <c r="B14" s="362">
        <v>5545</v>
      </c>
      <c r="C14" s="127">
        <v>1</v>
      </c>
      <c r="D14" s="128" t="s">
        <v>1427</v>
      </c>
      <c r="F14" s="141">
        <v>0</v>
      </c>
      <c r="G14" s="141">
        <v>0</v>
      </c>
      <c r="H14" s="141">
        <v>0</v>
      </c>
      <c r="I14" s="141">
        <v>0</v>
      </c>
      <c r="J14" s="141">
        <v>0</v>
      </c>
      <c r="K14" s="141">
        <v>0</v>
      </c>
      <c r="L14" s="141">
        <f>SUMIF('TS by Location'!$B$36:$B$470,$B14,'TS by Location'!$D$36:$D$473)</f>
        <v>0</v>
      </c>
      <c r="M14" s="141">
        <f>SUMIF('TS by Location'!$B$36:$B$470,$B14,'TS by Location'!$E$36:$E$473)</f>
        <v>0</v>
      </c>
      <c r="N14" s="141">
        <f>SUMIF('TS by Location'!$B$36:$B$470,$B14,'TS by Location'!$F$36:$F$473)</f>
        <v>140208.6</v>
      </c>
      <c r="O14" s="483"/>
      <c r="P14" s="142">
        <v>0</v>
      </c>
      <c r="Q14" s="142">
        <v>0</v>
      </c>
      <c r="R14" s="142">
        <v>0</v>
      </c>
      <c r="S14" s="142">
        <v>0</v>
      </c>
      <c r="T14" s="142">
        <v>0</v>
      </c>
      <c r="U14" s="142">
        <v>0</v>
      </c>
      <c r="V14" s="142">
        <f>SUMIF('DS by Location'!$B$9:$B$858,$B14,'DS by Location'!$D$9:$D$858)</f>
        <v>3756.67</v>
      </c>
      <c r="W14" s="142">
        <f>SUMIF('DS by Location'!$B$9:$B$858,$B14,'DS by Location'!$E$9:$E$858)</f>
        <v>55479.61</v>
      </c>
      <c r="X14" s="142">
        <f>SUMIF('DS by Location'!$B$9:$B$858,$B14,'DS by Location'!$F$9:$F$858)</f>
        <v>619929.90000000014</v>
      </c>
      <c r="Z14" s="128" t="s">
        <v>1482</v>
      </c>
      <c r="AB14" s="141">
        <v>0</v>
      </c>
      <c r="AC14" s="141">
        <v>0</v>
      </c>
      <c r="AD14" s="141">
        <v>0</v>
      </c>
      <c r="AE14" s="141">
        <v>0</v>
      </c>
      <c r="AF14" s="141">
        <v>0</v>
      </c>
      <c r="AG14" s="141">
        <v>140208.59999999998</v>
      </c>
      <c r="AH14" s="141">
        <v>0</v>
      </c>
      <c r="AI14" s="141">
        <v>0</v>
      </c>
      <c r="AJ14" s="141">
        <v>0</v>
      </c>
      <c r="AK14" s="142"/>
      <c r="AL14" s="142">
        <v>0</v>
      </c>
      <c r="AM14" s="142">
        <v>0</v>
      </c>
      <c r="AN14" s="142">
        <v>0</v>
      </c>
      <c r="AO14" s="142">
        <v>972.46944920836734</v>
      </c>
      <c r="AP14" s="142">
        <v>14361.715503090511</v>
      </c>
      <c r="AQ14" s="142">
        <v>56564.464553733633</v>
      </c>
      <c r="AR14" s="142">
        <v>2784.2005507916324</v>
      </c>
      <c r="AS14" s="142">
        <v>41117.894496909488</v>
      </c>
      <c r="AT14" s="142">
        <v>563365.43544626643</v>
      </c>
      <c r="AV14" s="143">
        <f t="shared" si="18"/>
        <v>0</v>
      </c>
      <c r="AX14" s="126">
        <f t="shared" si="0"/>
        <v>0</v>
      </c>
      <c r="AY14" s="126">
        <f t="shared" si="1"/>
        <v>0</v>
      </c>
      <c r="AZ14" s="126">
        <f t="shared" si="2"/>
        <v>0</v>
      </c>
      <c r="BA14" s="126">
        <f t="shared" si="3"/>
        <v>0</v>
      </c>
      <c r="BB14" s="126">
        <f t="shared" si="4"/>
        <v>0</v>
      </c>
      <c r="BC14" s="126">
        <f t="shared" si="5"/>
        <v>-140208.59999999998</v>
      </c>
      <c r="BD14" s="126">
        <f t="shared" si="6"/>
        <v>0</v>
      </c>
      <c r="BE14" s="126">
        <f t="shared" si="7"/>
        <v>0</v>
      </c>
      <c r="BF14" s="126">
        <f t="shared" si="8"/>
        <v>140208.6</v>
      </c>
      <c r="BH14" s="126">
        <f t="shared" si="9"/>
        <v>0</v>
      </c>
      <c r="BI14" s="126">
        <f t="shared" si="10"/>
        <v>0</v>
      </c>
      <c r="BJ14" s="126">
        <f t="shared" si="11"/>
        <v>0</v>
      </c>
      <c r="BK14" s="126">
        <f t="shared" si="12"/>
        <v>-972.46944920836734</v>
      </c>
      <c r="BL14" s="126">
        <f t="shared" si="13"/>
        <v>-14361.715503090511</v>
      </c>
      <c r="BM14" s="126">
        <f t="shared" si="14"/>
        <v>-56564.464553733633</v>
      </c>
      <c r="BN14" s="126">
        <f t="shared" si="15"/>
        <v>972.46944920836768</v>
      </c>
      <c r="BO14" s="126">
        <f t="shared" si="16"/>
        <v>14361.715503090512</v>
      </c>
      <c r="BP14" s="126">
        <f t="shared" si="17"/>
        <v>56564.464553733706</v>
      </c>
    </row>
    <row r="15" spans="1:68" ht="15" x14ac:dyDescent="0.25">
      <c r="A15" s="126" t="s">
        <v>1304</v>
      </c>
      <c r="B15" s="362">
        <v>5530</v>
      </c>
      <c r="C15" s="127">
        <v>1</v>
      </c>
      <c r="D15" s="128" t="s">
        <v>1427</v>
      </c>
      <c r="F15" s="141">
        <v>0</v>
      </c>
      <c r="G15" s="141">
        <v>0</v>
      </c>
      <c r="H15" s="141">
        <v>0</v>
      </c>
      <c r="I15" s="141">
        <v>0</v>
      </c>
      <c r="J15" s="141">
        <v>0</v>
      </c>
      <c r="K15" s="141">
        <v>0</v>
      </c>
      <c r="L15" s="141">
        <f>SUMIF('TS by Location'!$B$36:$B$470,$B15,'TS by Location'!$D$36:$D$473)</f>
        <v>0</v>
      </c>
      <c r="M15" s="141">
        <f>SUMIF('TS by Location'!$B$36:$B$470,$B15,'TS by Location'!$E$36:$E$473)</f>
        <v>0</v>
      </c>
      <c r="N15" s="141">
        <f>SUMIF('TS by Location'!$B$36:$B$470,$B15,'TS by Location'!$F$36:$F$473)</f>
        <v>276827.8</v>
      </c>
      <c r="O15" s="483"/>
      <c r="P15" s="142">
        <v>0</v>
      </c>
      <c r="Q15" s="142">
        <v>0</v>
      </c>
      <c r="R15" s="142">
        <v>0</v>
      </c>
      <c r="S15" s="142">
        <v>0</v>
      </c>
      <c r="T15" s="142">
        <v>0</v>
      </c>
      <c r="U15" s="142">
        <v>0</v>
      </c>
      <c r="V15" s="142">
        <f>SUMIF('DS by Location'!$B$9:$B$858,$B15,'DS by Location'!$D$9:$D$858)</f>
        <v>959.21</v>
      </c>
      <c r="W15" s="142">
        <f>SUMIF('DS by Location'!$B$9:$B$858,$B15,'DS by Location'!$E$9:$E$858)</f>
        <v>18768.36</v>
      </c>
      <c r="X15" s="142">
        <f>SUMIF('DS by Location'!$B$9:$B$858,$B15,'DS by Location'!$F$9:$F$858)</f>
        <v>751032.67000000016</v>
      </c>
      <c r="Z15" s="128" t="s">
        <v>1482</v>
      </c>
      <c r="AB15" s="141">
        <v>0</v>
      </c>
      <c r="AC15" s="141">
        <v>0</v>
      </c>
      <c r="AD15" s="141">
        <v>0</v>
      </c>
      <c r="AE15" s="141">
        <v>0</v>
      </c>
      <c r="AF15" s="141">
        <v>0</v>
      </c>
      <c r="AG15" s="141">
        <v>276510.14732640772</v>
      </c>
      <c r="AH15" s="141">
        <v>0</v>
      </c>
      <c r="AI15" s="141">
        <v>0</v>
      </c>
      <c r="AJ15" s="141">
        <v>317.65267359228733</v>
      </c>
      <c r="AK15" s="142"/>
      <c r="AL15" s="142">
        <v>0</v>
      </c>
      <c r="AM15" s="142">
        <v>0</v>
      </c>
      <c r="AN15" s="142">
        <v>0</v>
      </c>
      <c r="AO15" s="142">
        <v>321.03456574466503</v>
      </c>
      <c r="AP15" s="142">
        <v>6281.5153119124507</v>
      </c>
      <c r="AQ15" s="142">
        <v>67500.798798588119</v>
      </c>
      <c r="AR15" s="142">
        <v>638.17543425533506</v>
      </c>
      <c r="AS15" s="142">
        <v>12486.844688087553</v>
      </c>
      <c r="AT15" s="142">
        <v>683531.87120141194</v>
      </c>
      <c r="AV15" s="143">
        <f t="shared" si="18"/>
        <v>0</v>
      </c>
      <c r="AX15" s="126">
        <f t="shared" si="0"/>
        <v>0</v>
      </c>
      <c r="AY15" s="126">
        <f t="shared" si="1"/>
        <v>0</v>
      </c>
      <c r="AZ15" s="126">
        <f t="shared" si="2"/>
        <v>0</v>
      </c>
      <c r="BA15" s="126">
        <f t="shared" si="3"/>
        <v>0</v>
      </c>
      <c r="BB15" s="126">
        <f t="shared" si="4"/>
        <v>0</v>
      </c>
      <c r="BC15" s="126">
        <f t="shared" si="5"/>
        <v>-276510.14732640772</v>
      </c>
      <c r="BD15" s="126">
        <f t="shared" si="6"/>
        <v>0</v>
      </c>
      <c r="BE15" s="126">
        <f t="shared" si="7"/>
        <v>0</v>
      </c>
      <c r="BF15" s="126">
        <f t="shared" si="8"/>
        <v>276510.14732640772</v>
      </c>
      <c r="BH15" s="126">
        <f t="shared" si="9"/>
        <v>0</v>
      </c>
      <c r="BI15" s="126">
        <f t="shared" si="10"/>
        <v>0</v>
      </c>
      <c r="BJ15" s="126">
        <f t="shared" si="11"/>
        <v>0</v>
      </c>
      <c r="BK15" s="126">
        <f t="shared" si="12"/>
        <v>-321.03456574466503</v>
      </c>
      <c r="BL15" s="126">
        <f t="shared" si="13"/>
        <v>-6281.5153119124507</v>
      </c>
      <c r="BM15" s="126">
        <f t="shared" si="14"/>
        <v>-67500.798798588119</v>
      </c>
      <c r="BN15" s="126">
        <f t="shared" si="15"/>
        <v>321.03456574466497</v>
      </c>
      <c r="BO15" s="126">
        <f t="shared" si="16"/>
        <v>6281.5153119124479</v>
      </c>
      <c r="BP15" s="126">
        <f t="shared" si="17"/>
        <v>67500.798798588221</v>
      </c>
    </row>
    <row r="16" spans="1:68" ht="15" x14ac:dyDescent="0.25">
      <c r="A16" s="126" t="s">
        <v>1305</v>
      </c>
      <c r="B16" s="362">
        <v>5514</v>
      </c>
      <c r="C16" s="127">
        <v>1</v>
      </c>
      <c r="D16" s="128" t="s">
        <v>1427</v>
      </c>
      <c r="F16" s="141">
        <v>0</v>
      </c>
      <c r="G16" s="141">
        <v>0</v>
      </c>
      <c r="H16" s="141">
        <v>0</v>
      </c>
      <c r="I16" s="141">
        <v>0</v>
      </c>
      <c r="J16" s="141">
        <v>0</v>
      </c>
      <c r="K16" s="141">
        <v>0</v>
      </c>
      <c r="L16" s="141">
        <f>SUMIF('TS by Location'!$B$36:$B$470,$B16,'TS by Location'!$D$36:$D$473)</f>
        <v>0</v>
      </c>
      <c r="M16" s="141">
        <f>SUMIF('TS by Location'!$B$36:$B$470,$B16,'TS by Location'!$E$36:$E$473)</f>
        <v>0</v>
      </c>
      <c r="N16" s="141">
        <f>SUMIF('TS by Location'!$B$36:$B$470,$B16,'TS by Location'!$F$36:$F$473)</f>
        <v>1071715.4799999993</v>
      </c>
      <c r="O16" s="483"/>
      <c r="P16" s="142">
        <v>0</v>
      </c>
      <c r="Q16" s="142">
        <v>0</v>
      </c>
      <c r="R16" s="142">
        <v>0</v>
      </c>
      <c r="S16" s="142">
        <v>0</v>
      </c>
      <c r="T16" s="142">
        <v>0</v>
      </c>
      <c r="U16" s="142">
        <v>0</v>
      </c>
      <c r="V16" s="142">
        <f>SUMIF('DS by Location'!$B$9:$B$858,$B16,'DS by Location'!$D$9:$D$858)</f>
        <v>0</v>
      </c>
      <c r="W16" s="142">
        <f>SUMIF('DS by Location'!$B$9:$B$858,$B16,'DS by Location'!$E$9:$E$858)</f>
        <v>333421.91000000009</v>
      </c>
      <c r="X16" s="142">
        <f>SUMIF('DS by Location'!$B$9:$B$858,$B16,'DS by Location'!$F$9:$F$858)</f>
        <v>5975488.6199999964</v>
      </c>
      <c r="Z16" s="128" t="s">
        <v>1482</v>
      </c>
      <c r="AB16" s="141">
        <v>0</v>
      </c>
      <c r="AC16" s="141">
        <v>0</v>
      </c>
      <c r="AD16" s="141">
        <v>0</v>
      </c>
      <c r="AE16" s="141">
        <v>0</v>
      </c>
      <c r="AF16" s="141">
        <v>0</v>
      </c>
      <c r="AG16" s="141">
        <v>1039386.3903554471</v>
      </c>
      <c r="AH16" s="141">
        <v>0</v>
      </c>
      <c r="AI16" s="141">
        <v>0</v>
      </c>
      <c r="AJ16" s="141">
        <v>32329.089644553038</v>
      </c>
      <c r="AK16" s="142"/>
      <c r="AL16" s="142">
        <v>0</v>
      </c>
      <c r="AM16" s="142">
        <v>0</v>
      </c>
      <c r="AN16" s="142">
        <v>0</v>
      </c>
      <c r="AO16" s="142">
        <v>0</v>
      </c>
      <c r="AP16" s="142">
        <v>76007.415271322941</v>
      </c>
      <c r="AQ16" s="142">
        <v>582351.73237533774</v>
      </c>
      <c r="AR16" s="142">
        <v>0</v>
      </c>
      <c r="AS16" s="142">
        <v>257414.49472867706</v>
      </c>
      <c r="AT16" s="142">
        <v>5393136.8876246624</v>
      </c>
      <c r="AV16" s="143">
        <f>SUM(F16:X16)-SUM(AB16:AT16)</f>
        <v>0</v>
      </c>
      <c r="AX16" s="126">
        <f t="shared" si="0"/>
        <v>0</v>
      </c>
      <c r="AY16" s="126">
        <f t="shared" si="1"/>
        <v>0</v>
      </c>
      <c r="AZ16" s="126">
        <f t="shared" si="2"/>
        <v>0</v>
      </c>
      <c r="BA16" s="126">
        <f t="shared" si="3"/>
        <v>0</v>
      </c>
      <c r="BB16" s="126">
        <f t="shared" si="4"/>
        <v>0</v>
      </c>
      <c r="BC16" s="126">
        <f t="shared" si="5"/>
        <v>-1039386.3903554471</v>
      </c>
      <c r="BD16" s="126">
        <f t="shared" si="6"/>
        <v>0</v>
      </c>
      <c r="BE16" s="126">
        <f t="shared" si="7"/>
        <v>0</v>
      </c>
      <c r="BF16" s="126">
        <f t="shared" si="8"/>
        <v>1039386.3903554463</v>
      </c>
      <c r="BH16" s="126">
        <f t="shared" si="9"/>
        <v>0</v>
      </c>
      <c r="BI16" s="126">
        <f t="shared" si="10"/>
        <v>0</v>
      </c>
      <c r="BJ16" s="126">
        <f t="shared" si="11"/>
        <v>0</v>
      </c>
      <c r="BK16" s="126">
        <f t="shared" si="12"/>
        <v>0</v>
      </c>
      <c r="BL16" s="126">
        <f t="shared" si="13"/>
        <v>-76007.415271322941</v>
      </c>
      <c r="BM16" s="126">
        <f t="shared" si="14"/>
        <v>-582351.73237533774</v>
      </c>
      <c r="BN16" s="126">
        <f t="shared" si="15"/>
        <v>0</v>
      </c>
      <c r="BO16" s="126">
        <f t="shared" si="16"/>
        <v>76007.415271323029</v>
      </c>
      <c r="BP16" s="126">
        <f t="shared" si="17"/>
        <v>582351.73237533402</v>
      </c>
    </row>
    <row r="17" spans="1:68" ht="15" x14ac:dyDescent="0.25">
      <c r="A17" s="126" t="s">
        <v>1306</v>
      </c>
      <c r="B17" s="362">
        <v>5508</v>
      </c>
      <c r="C17" s="127">
        <v>1</v>
      </c>
      <c r="D17" s="128" t="s">
        <v>1427</v>
      </c>
      <c r="F17" s="141">
        <v>0</v>
      </c>
      <c r="G17" s="141">
        <v>0</v>
      </c>
      <c r="H17" s="141">
        <v>0</v>
      </c>
      <c r="I17" s="141">
        <v>0</v>
      </c>
      <c r="J17" s="141">
        <v>0</v>
      </c>
      <c r="K17" s="141">
        <v>0</v>
      </c>
      <c r="L17" s="141">
        <f>SUMIF('TS by Location'!$B$36:$B$470,$B17,'TS by Location'!$D$36:$D$473)</f>
        <v>0</v>
      </c>
      <c r="M17" s="141">
        <f>SUMIF('TS by Location'!$B$36:$B$470,$B17,'TS by Location'!$E$36:$E$473)</f>
        <v>0</v>
      </c>
      <c r="N17" s="141">
        <f>SUMIF('TS by Location'!$B$36:$B$470,$B17,'TS by Location'!$F$36:$F$473)</f>
        <v>416587.12000000011</v>
      </c>
      <c r="O17" s="483"/>
      <c r="P17" s="142">
        <v>0</v>
      </c>
      <c r="Q17" s="142">
        <v>0</v>
      </c>
      <c r="R17" s="142">
        <v>0</v>
      </c>
      <c r="S17" s="142">
        <v>0</v>
      </c>
      <c r="T17" s="142">
        <v>0</v>
      </c>
      <c r="U17" s="142">
        <v>0</v>
      </c>
      <c r="V17" s="142">
        <f>SUMIF('DS by Location'!$B$9:$B$858,$B17,'DS by Location'!$D$9:$D$858)</f>
        <v>1492.8000000000002</v>
      </c>
      <c r="W17" s="142">
        <f>SUMIF('DS by Location'!$B$9:$B$858,$B17,'DS by Location'!$E$9:$E$858)</f>
        <v>382653.57999999996</v>
      </c>
      <c r="X17" s="142">
        <f>SUMIF('DS by Location'!$B$9:$B$858,$B17,'DS by Location'!$F$9:$F$858)</f>
        <v>5903778.2499999963</v>
      </c>
      <c r="Z17" s="128" t="s">
        <v>1482</v>
      </c>
      <c r="AB17" s="141">
        <v>0</v>
      </c>
      <c r="AC17" s="141">
        <v>0</v>
      </c>
      <c r="AD17" s="141">
        <v>0</v>
      </c>
      <c r="AE17" s="141">
        <v>0</v>
      </c>
      <c r="AF17" s="141">
        <v>0</v>
      </c>
      <c r="AG17" s="141">
        <v>392255.99567102059</v>
      </c>
      <c r="AH17" s="141">
        <v>0</v>
      </c>
      <c r="AI17" s="141">
        <v>0</v>
      </c>
      <c r="AJ17" s="141">
        <v>24331.124328979393</v>
      </c>
      <c r="AK17" s="142"/>
      <c r="AL17" s="142">
        <v>0</v>
      </c>
      <c r="AM17" s="142">
        <v>0</v>
      </c>
      <c r="AN17" s="142">
        <v>0</v>
      </c>
      <c r="AO17" s="142">
        <v>103.77044409593921</v>
      </c>
      <c r="AP17" s="142">
        <v>26599.766835142687</v>
      </c>
      <c r="AQ17" s="142">
        <v>47097.649354096502</v>
      </c>
      <c r="AR17" s="142">
        <v>1389.029555904061</v>
      </c>
      <c r="AS17" s="142">
        <v>356053.81316485733</v>
      </c>
      <c r="AT17" s="142">
        <v>5856680.6006458988</v>
      </c>
      <c r="AV17" s="143">
        <f t="shared" si="18"/>
        <v>0</v>
      </c>
      <c r="AX17" s="126">
        <f t="shared" si="0"/>
        <v>0</v>
      </c>
      <c r="AY17" s="126">
        <f t="shared" si="1"/>
        <v>0</v>
      </c>
      <c r="AZ17" s="126">
        <f t="shared" si="2"/>
        <v>0</v>
      </c>
      <c r="BA17" s="126">
        <f t="shared" si="3"/>
        <v>0</v>
      </c>
      <c r="BB17" s="126">
        <f t="shared" si="4"/>
        <v>0</v>
      </c>
      <c r="BC17" s="126">
        <f t="shared" si="5"/>
        <v>-392255.99567102059</v>
      </c>
      <c r="BD17" s="126">
        <f t="shared" si="6"/>
        <v>0</v>
      </c>
      <c r="BE17" s="126">
        <f t="shared" si="7"/>
        <v>0</v>
      </c>
      <c r="BF17" s="126">
        <f t="shared" si="8"/>
        <v>392255.9956710207</v>
      </c>
      <c r="BH17" s="126">
        <f t="shared" si="9"/>
        <v>0</v>
      </c>
      <c r="BI17" s="126">
        <f t="shared" si="10"/>
        <v>0</v>
      </c>
      <c r="BJ17" s="126">
        <f t="shared" si="11"/>
        <v>0</v>
      </c>
      <c r="BK17" s="126">
        <f t="shared" si="12"/>
        <v>-103.77044409593921</v>
      </c>
      <c r="BL17" s="126">
        <f t="shared" si="13"/>
        <v>-26599.766835142687</v>
      </c>
      <c r="BM17" s="126">
        <f t="shared" si="14"/>
        <v>-47097.649354096502</v>
      </c>
      <c r="BN17" s="126">
        <f t="shared" si="15"/>
        <v>103.77044409593918</v>
      </c>
      <c r="BO17" s="126">
        <f t="shared" si="16"/>
        <v>26599.766835142625</v>
      </c>
      <c r="BP17" s="126">
        <f t="shared" si="17"/>
        <v>47097.649354097433</v>
      </c>
    </row>
    <row r="18" spans="1:68" ht="15" x14ac:dyDescent="0.25">
      <c r="A18" s="126" t="s">
        <v>1307</v>
      </c>
      <c r="B18" s="362">
        <v>5511</v>
      </c>
      <c r="C18" s="127">
        <v>1</v>
      </c>
      <c r="D18" s="128" t="s">
        <v>1427</v>
      </c>
      <c r="F18" s="141">
        <v>0</v>
      </c>
      <c r="G18" s="141">
        <v>0</v>
      </c>
      <c r="H18" s="141">
        <v>0</v>
      </c>
      <c r="I18" s="141">
        <v>0</v>
      </c>
      <c r="J18" s="141">
        <v>0</v>
      </c>
      <c r="K18" s="141">
        <v>0</v>
      </c>
      <c r="L18" s="141">
        <f>SUMIF('TS by Location'!$B$36:$B$470,$B18,'TS by Location'!$D$36:$D$473)</f>
        <v>0</v>
      </c>
      <c r="M18" s="141">
        <f>SUMIF('TS by Location'!$B$36:$B$470,$B18,'TS by Location'!$E$36:$E$473)</f>
        <v>0</v>
      </c>
      <c r="N18" s="141">
        <f>SUMIF('TS by Location'!$B$36:$B$470,$B18,'TS by Location'!$F$36:$F$473)</f>
        <v>485767.81</v>
      </c>
      <c r="O18" s="483"/>
      <c r="P18" s="142">
        <v>0</v>
      </c>
      <c r="Q18" s="142">
        <v>0</v>
      </c>
      <c r="R18" s="142">
        <v>0</v>
      </c>
      <c r="S18" s="142">
        <v>0</v>
      </c>
      <c r="T18" s="142">
        <v>0</v>
      </c>
      <c r="U18" s="142">
        <v>0</v>
      </c>
      <c r="V18" s="142">
        <f>SUMIF('DS by Location'!$B$9:$B$858,$B18,'DS by Location'!$D$9:$D$858)</f>
        <v>187.19</v>
      </c>
      <c r="W18" s="142">
        <f>SUMIF('DS by Location'!$B$9:$B$858,$B18,'DS by Location'!$E$9:$E$858)</f>
        <v>148976.93000000002</v>
      </c>
      <c r="X18" s="142">
        <f>SUMIF('DS by Location'!$B$9:$B$858,$B18,'DS by Location'!$F$9:$F$858)</f>
        <v>1787024.05</v>
      </c>
      <c r="Z18" s="128" t="s">
        <v>1482</v>
      </c>
      <c r="AB18" s="141">
        <v>0</v>
      </c>
      <c r="AC18" s="141">
        <v>0</v>
      </c>
      <c r="AD18" s="141">
        <v>0</v>
      </c>
      <c r="AE18" s="141">
        <v>0</v>
      </c>
      <c r="AF18" s="141">
        <v>0</v>
      </c>
      <c r="AG18" s="141">
        <v>472673.53</v>
      </c>
      <c r="AH18" s="141">
        <v>0</v>
      </c>
      <c r="AI18" s="141">
        <v>0</v>
      </c>
      <c r="AJ18" s="141">
        <v>13094.28</v>
      </c>
      <c r="AK18" s="142"/>
      <c r="AL18" s="142">
        <v>0</v>
      </c>
      <c r="AM18" s="142">
        <v>0</v>
      </c>
      <c r="AN18" s="142">
        <v>0</v>
      </c>
      <c r="AO18" s="142">
        <v>73.430679942070284</v>
      </c>
      <c r="AP18" s="142">
        <v>58440.500377061857</v>
      </c>
      <c r="AQ18" s="142">
        <v>418894.671541763</v>
      </c>
      <c r="AR18" s="142">
        <v>113.75932005792971</v>
      </c>
      <c r="AS18" s="142">
        <v>90536.429622938129</v>
      </c>
      <c r="AT18" s="142">
        <v>1368129.378458237</v>
      </c>
      <c r="AV18" s="143">
        <f t="shared" si="18"/>
        <v>0</v>
      </c>
      <c r="AX18" s="126">
        <f t="shared" si="0"/>
        <v>0</v>
      </c>
      <c r="AY18" s="126">
        <f t="shared" si="1"/>
        <v>0</v>
      </c>
      <c r="AZ18" s="126">
        <f t="shared" si="2"/>
        <v>0</v>
      </c>
      <c r="BA18" s="126">
        <f t="shared" si="3"/>
        <v>0</v>
      </c>
      <c r="BB18" s="126">
        <f t="shared" si="4"/>
        <v>0</v>
      </c>
      <c r="BC18" s="126">
        <f t="shared" si="5"/>
        <v>-472673.53</v>
      </c>
      <c r="BD18" s="126">
        <f t="shared" si="6"/>
        <v>0</v>
      </c>
      <c r="BE18" s="126">
        <f t="shared" si="7"/>
        <v>0</v>
      </c>
      <c r="BF18" s="126">
        <f t="shared" si="8"/>
        <v>472673.52999999997</v>
      </c>
      <c r="BH18" s="126">
        <f t="shared" si="9"/>
        <v>0</v>
      </c>
      <c r="BI18" s="126">
        <f t="shared" si="10"/>
        <v>0</v>
      </c>
      <c r="BJ18" s="126">
        <f t="shared" si="11"/>
        <v>0</v>
      </c>
      <c r="BK18" s="126">
        <f t="shared" si="12"/>
        <v>-73.430679942070284</v>
      </c>
      <c r="BL18" s="126">
        <f t="shared" si="13"/>
        <v>-58440.500377061857</v>
      </c>
      <c r="BM18" s="126">
        <f t="shared" si="14"/>
        <v>-418894.671541763</v>
      </c>
      <c r="BN18" s="126">
        <f t="shared" si="15"/>
        <v>73.430679942070284</v>
      </c>
      <c r="BO18" s="126">
        <f t="shared" si="16"/>
        <v>58440.500377061893</v>
      </c>
      <c r="BP18" s="126">
        <f t="shared" si="17"/>
        <v>418894.671541763</v>
      </c>
    </row>
    <row r="19" spans="1:68" ht="15" x14ac:dyDescent="0.25">
      <c r="A19" s="126" t="s">
        <v>1308</v>
      </c>
      <c r="B19" s="362">
        <v>5547</v>
      </c>
      <c r="C19" s="127">
        <v>1</v>
      </c>
      <c r="D19" s="128" t="s">
        <v>1427</v>
      </c>
      <c r="F19" s="141">
        <v>0</v>
      </c>
      <c r="G19" s="141">
        <v>0</v>
      </c>
      <c r="H19" s="141">
        <v>0</v>
      </c>
      <c r="I19" s="141">
        <v>0</v>
      </c>
      <c r="J19" s="141">
        <v>0</v>
      </c>
      <c r="K19" s="141">
        <v>0</v>
      </c>
      <c r="L19" s="141">
        <f>SUMIF('TS by Location'!$B$36:$B$470,$B19,'TS by Location'!$D$36:$D$473)</f>
        <v>0</v>
      </c>
      <c r="M19" s="141">
        <f>SUMIF('TS by Location'!$B$36:$B$470,$B19,'TS by Location'!$E$36:$E$473)</f>
        <v>0</v>
      </c>
      <c r="N19" s="141">
        <f>SUMIF('TS by Location'!$B$36:$B$470,$B19,'TS by Location'!$F$36:$F$473)</f>
        <v>0</v>
      </c>
      <c r="O19" s="483"/>
      <c r="P19" s="142">
        <v>0</v>
      </c>
      <c r="Q19" s="142">
        <v>0</v>
      </c>
      <c r="R19" s="142">
        <v>0</v>
      </c>
      <c r="S19" s="142">
        <v>0</v>
      </c>
      <c r="T19" s="142">
        <v>0</v>
      </c>
      <c r="U19" s="142">
        <v>0</v>
      </c>
      <c r="V19" s="142">
        <f>SUMIF('DS by Location'!$B$9:$B$858,$B19,'DS by Location'!$D$9:$D$858)</f>
        <v>384.16</v>
      </c>
      <c r="W19" s="142">
        <f>SUMIF('DS by Location'!$B$9:$B$858,$B19,'DS by Location'!$E$9:$E$858)</f>
        <v>33392.47</v>
      </c>
      <c r="X19" s="142">
        <f>SUMIF('DS by Location'!$B$9:$B$858,$B19,'DS by Location'!$F$9:$F$858)</f>
        <v>579541.88</v>
      </c>
      <c r="Z19" s="128" t="s">
        <v>1482</v>
      </c>
      <c r="AB19" s="141">
        <v>0</v>
      </c>
      <c r="AC19" s="141">
        <v>0</v>
      </c>
      <c r="AD19" s="141">
        <v>0</v>
      </c>
      <c r="AE19" s="141">
        <v>0</v>
      </c>
      <c r="AF19" s="141">
        <v>0</v>
      </c>
      <c r="AG19" s="141">
        <v>0</v>
      </c>
      <c r="AH19" s="141">
        <v>0</v>
      </c>
      <c r="AI19" s="141">
        <v>0</v>
      </c>
      <c r="AJ19" s="141">
        <v>0</v>
      </c>
      <c r="AK19" s="142"/>
      <c r="AL19" s="142">
        <v>0</v>
      </c>
      <c r="AM19" s="142">
        <v>0</v>
      </c>
      <c r="AN19" s="142">
        <v>0</v>
      </c>
      <c r="AO19" s="142">
        <v>9.841270983683188</v>
      </c>
      <c r="AP19" s="142">
        <v>855.43613620499627</v>
      </c>
      <c r="AQ19" s="142">
        <v>14846.492834946905</v>
      </c>
      <c r="AR19" s="142">
        <v>374.31872901631687</v>
      </c>
      <c r="AS19" s="142">
        <v>32537.033863795008</v>
      </c>
      <c r="AT19" s="142">
        <v>564695.38716505305</v>
      </c>
      <c r="AV19" s="143">
        <f t="shared" si="18"/>
        <v>0</v>
      </c>
      <c r="AX19" s="126">
        <f t="shared" si="0"/>
        <v>0</v>
      </c>
      <c r="AY19" s="126">
        <f t="shared" si="1"/>
        <v>0</v>
      </c>
      <c r="AZ19" s="126">
        <f t="shared" si="2"/>
        <v>0</v>
      </c>
      <c r="BA19" s="126">
        <f t="shared" si="3"/>
        <v>0</v>
      </c>
      <c r="BB19" s="126">
        <f t="shared" si="4"/>
        <v>0</v>
      </c>
      <c r="BC19" s="126">
        <f t="shared" si="5"/>
        <v>0</v>
      </c>
      <c r="BD19" s="126">
        <f t="shared" si="6"/>
        <v>0</v>
      </c>
      <c r="BE19" s="126">
        <f t="shared" si="7"/>
        <v>0</v>
      </c>
      <c r="BF19" s="126">
        <f t="shared" si="8"/>
        <v>0</v>
      </c>
      <c r="BH19" s="126">
        <f t="shared" si="9"/>
        <v>0</v>
      </c>
      <c r="BI19" s="126">
        <f t="shared" si="10"/>
        <v>0</v>
      </c>
      <c r="BJ19" s="126">
        <f t="shared" si="11"/>
        <v>0</v>
      </c>
      <c r="BK19" s="126">
        <f t="shared" si="12"/>
        <v>-9.841270983683188</v>
      </c>
      <c r="BL19" s="126">
        <f t="shared" si="13"/>
        <v>-855.43613620499627</v>
      </c>
      <c r="BM19" s="126">
        <f t="shared" si="14"/>
        <v>-14846.492834946905</v>
      </c>
      <c r="BN19" s="126">
        <f t="shared" si="15"/>
        <v>9.8412709836831596</v>
      </c>
      <c r="BO19" s="126">
        <f t="shared" si="16"/>
        <v>855.43613620499309</v>
      </c>
      <c r="BP19" s="126">
        <f t="shared" si="17"/>
        <v>14846.492834946956</v>
      </c>
    </row>
    <row r="20" spans="1:68" ht="15" x14ac:dyDescent="0.25">
      <c r="A20" s="126" t="s">
        <v>1309</v>
      </c>
      <c r="B20" s="362">
        <v>5541</v>
      </c>
      <c r="C20" s="127">
        <v>1</v>
      </c>
      <c r="D20" s="128" t="s">
        <v>1427</v>
      </c>
      <c r="F20" s="141">
        <v>0</v>
      </c>
      <c r="G20" s="141">
        <v>0</v>
      </c>
      <c r="H20" s="141">
        <v>0</v>
      </c>
      <c r="I20" s="141">
        <v>0</v>
      </c>
      <c r="J20" s="141">
        <v>0</v>
      </c>
      <c r="K20" s="141">
        <v>0</v>
      </c>
      <c r="L20" s="141">
        <f>SUMIF('TS by Location'!$B$36:$B$470,$B20,'TS by Location'!$D$36:$D$473)</f>
        <v>0</v>
      </c>
      <c r="M20" s="141">
        <f>SUMIF('TS by Location'!$B$36:$B$470,$B20,'TS by Location'!$E$36:$E$473)</f>
        <v>0</v>
      </c>
      <c r="N20" s="141">
        <f>SUMIF('TS by Location'!$B$36:$B$470,$B20,'TS by Location'!$F$36:$F$473)</f>
        <v>560191.65000000014</v>
      </c>
      <c r="O20" s="483"/>
      <c r="P20" s="142">
        <v>0</v>
      </c>
      <c r="Q20" s="142">
        <v>0</v>
      </c>
      <c r="R20" s="142">
        <v>0</v>
      </c>
      <c r="S20" s="142">
        <v>0</v>
      </c>
      <c r="T20" s="142">
        <v>0</v>
      </c>
      <c r="U20" s="142">
        <v>0</v>
      </c>
      <c r="V20" s="142">
        <f>SUMIF('DS by Location'!$B$9:$B$858,$B20,'DS by Location'!$D$9:$D$858)</f>
        <v>1087.8700000000001</v>
      </c>
      <c r="W20" s="142">
        <f>SUMIF('DS by Location'!$B$9:$B$858,$B20,'DS by Location'!$E$9:$E$858)</f>
        <v>77814.950000000012</v>
      </c>
      <c r="X20" s="142">
        <f>SUMIF('DS by Location'!$B$9:$B$858,$B20,'DS by Location'!$F$9:$F$858)</f>
        <v>2300493.5500000017</v>
      </c>
      <c r="Z20" s="128" t="s">
        <v>1482</v>
      </c>
      <c r="AB20" s="141">
        <v>0</v>
      </c>
      <c r="AC20" s="141">
        <v>0</v>
      </c>
      <c r="AD20" s="141">
        <v>0</v>
      </c>
      <c r="AE20" s="141">
        <v>0</v>
      </c>
      <c r="AF20" s="141">
        <v>0</v>
      </c>
      <c r="AG20" s="141">
        <v>560191.65</v>
      </c>
      <c r="AH20" s="141">
        <v>0</v>
      </c>
      <c r="AI20" s="141">
        <v>0</v>
      </c>
      <c r="AJ20" s="141">
        <v>0</v>
      </c>
      <c r="AK20" s="142"/>
      <c r="AL20" s="142">
        <v>0</v>
      </c>
      <c r="AM20" s="142">
        <v>0</v>
      </c>
      <c r="AN20" s="142">
        <v>0</v>
      </c>
      <c r="AO20" s="142">
        <v>349.60129399717107</v>
      </c>
      <c r="AP20" s="142">
        <v>25006.854874502624</v>
      </c>
      <c r="AQ20" s="142">
        <v>359127.06238158618</v>
      </c>
      <c r="AR20" s="142">
        <v>738.26870600282894</v>
      </c>
      <c r="AS20" s="142">
        <v>52808.095125497377</v>
      </c>
      <c r="AT20" s="142">
        <v>1941366.487618414</v>
      </c>
      <c r="AV20" s="143">
        <f t="shared" si="18"/>
        <v>0</v>
      </c>
      <c r="AX20" s="126">
        <f t="shared" si="0"/>
        <v>0</v>
      </c>
      <c r="AY20" s="126">
        <f t="shared" si="1"/>
        <v>0</v>
      </c>
      <c r="AZ20" s="126">
        <f t="shared" si="2"/>
        <v>0</v>
      </c>
      <c r="BA20" s="126">
        <f t="shared" si="3"/>
        <v>0</v>
      </c>
      <c r="BB20" s="126">
        <f t="shared" si="4"/>
        <v>0</v>
      </c>
      <c r="BC20" s="126">
        <f t="shared" si="5"/>
        <v>-560191.65</v>
      </c>
      <c r="BD20" s="126">
        <f t="shared" si="6"/>
        <v>0</v>
      </c>
      <c r="BE20" s="126">
        <f t="shared" si="7"/>
        <v>0</v>
      </c>
      <c r="BF20" s="126">
        <f t="shared" si="8"/>
        <v>560191.65000000014</v>
      </c>
      <c r="BH20" s="126">
        <f t="shared" si="9"/>
        <v>0</v>
      </c>
      <c r="BI20" s="126">
        <f t="shared" si="10"/>
        <v>0</v>
      </c>
      <c r="BJ20" s="126">
        <f t="shared" si="11"/>
        <v>0</v>
      </c>
      <c r="BK20" s="126">
        <f t="shared" si="12"/>
        <v>-349.60129399717107</v>
      </c>
      <c r="BL20" s="126">
        <f t="shared" si="13"/>
        <v>-25006.854874502624</v>
      </c>
      <c r="BM20" s="126">
        <f t="shared" si="14"/>
        <v>-359127.06238158618</v>
      </c>
      <c r="BN20" s="126">
        <f t="shared" si="15"/>
        <v>349.60129399717118</v>
      </c>
      <c r="BO20" s="126">
        <f t="shared" si="16"/>
        <v>25006.854874502635</v>
      </c>
      <c r="BP20" s="126">
        <f t="shared" si="17"/>
        <v>359127.06238158769</v>
      </c>
    </row>
    <row r="21" spans="1:68" ht="15" x14ac:dyDescent="0.25">
      <c r="A21" s="126" t="s">
        <v>1310</v>
      </c>
      <c r="B21" s="362">
        <v>5553</v>
      </c>
      <c r="C21" s="127">
        <v>1</v>
      </c>
      <c r="D21" s="128" t="s">
        <v>1427</v>
      </c>
      <c r="F21" s="141">
        <v>0</v>
      </c>
      <c r="G21" s="141">
        <v>0</v>
      </c>
      <c r="H21" s="141">
        <v>0</v>
      </c>
      <c r="I21" s="141">
        <v>0</v>
      </c>
      <c r="J21" s="141">
        <v>0</v>
      </c>
      <c r="K21" s="141">
        <v>0</v>
      </c>
      <c r="L21" s="141">
        <f>SUMIF('TS by Location'!$B$36:$B$470,$B21,'TS by Location'!$D$36:$D$473)</f>
        <v>0</v>
      </c>
      <c r="M21" s="141">
        <f>SUMIF('TS by Location'!$B$36:$B$470,$B21,'TS by Location'!$E$36:$E$473)</f>
        <v>4528.7300000000005</v>
      </c>
      <c r="N21" s="141">
        <f>SUMIF('TS by Location'!$B$36:$B$470,$B21,'TS by Location'!$F$36:$F$473)</f>
        <v>231734.50000000003</v>
      </c>
      <c r="O21" s="483"/>
      <c r="P21" s="142">
        <v>0</v>
      </c>
      <c r="Q21" s="142">
        <v>0</v>
      </c>
      <c r="R21" s="142">
        <v>0</v>
      </c>
      <c r="S21" s="142">
        <v>0</v>
      </c>
      <c r="T21" s="142">
        <v>0</v>
      </c>
      <c r="U21" s="142">
        <v>0</v>
      </c>
      <c r="V21" s="142">
        <f>SUMIF('DS by Location'!$B$9:$B$858,$B21,'DS by Location'!$D$9:$D$858)</f>
        <v>0</v>
      </c>
      <c r="W21" s="142">
        <f>SUMIF('DS by Location'!$B$9:$B$858,$B21,'DS by Location'!$E$9:$E$858)</f>
        <v>50566.97</v>
      </c>
      <c r="X21" s="142">
        <f>SUMIF('DS by Location'!$B$9:$B$858,$B21,'DS by Location'!$F$9:$F$858)</f>
        <v>1419065.96</v>
      </c>
      <c r="Z21" s="128" t="s">
        <v>1482</v>
      </c>
      <c r="AB21" s="141">
        <v>0</v>
      </c>
      <c r="AC21" s="141">
        <v>0</v>
      </c>
      <c r="AD21" s="141">
        <v>0</v>
      </c>
      <c r="AE21" s="141">
        <v>0</v>
      </c>
      <c r="AF21" s="141">
        <v>2432.6344688971785</v>
      </c>
      <c r="AG21" s="141">
        <v>231734.5</v>
      </c>
      <c r="AH21" s="141">
        <v>0</v>
      </c>
      <c r="AI21" s="141">
        <v>2096.095531102821</v>
      </c>
      <c r="AJ21" s="141">
        <v>0</v>
      </c>
      <c r="AK21" s="142"/>
      <c r="AL21" s="142">
        <v>0</v>
      </c>
      <c r="AM21" s="142">
        <v>0</v>
      </c>
      <c r="AN21" s="142">
        <v>0</v>
      </c>
      <c r="AO21" s="142">
        <v>0</v>
      </c>
      <c r="AP21" s="142">
        <v>27134.333024002735</v>
      </c>
      <c r="AQ21" s="142">
        <v>655030.88157081918</v>
      </c>
      <c r="AR21" s="142">
        <v>0</v>
      </c>
      <c r="AS21" s="142">
        <v>23432.636975997273</v>
      </c>
      <c r="AT21" s="142">
        <v>764035.07842918055</v>
      </c>
      <c r="AV21" s="143">
        <f t="shared" si="18"/>
        <v>0</v>
      </c>
      <c r="AX21" s="126">
        <f t="shared" si="0"/>
        <v>0</v>
      </c>
      <c r="AY21" s="126">
        <f t="shared" si="1"/>
        <v>0</v>
      </c>
      <c r="AZ21" s="126">
        <f t="shared" si="2"/>
        <v>0</v>
      </c>
      <c r="BA21" s="126">
        <f t="shared" si="3"/>
        <v>0</v>
      </c>
      <c r="BB21" s="126">
        <f t="shared" si="4"/>
        <v>-2432.6344688971785</v>
      </c>
      <c r="BC21" s="126">
        <f t="shared" si="5"/>
        <v>-231734.5</v>
      </c>
      <c r="BD21" s="126">
        <f t="shared" si="6"/>
        <v>0</v>
      </c>
      <c r="BE21" s="126">
        <f t="shared" si="7"/>
        <v>2432.6344688971794</v>
      </c>
      <c r="BF21" s="126">
        <f t="shared" si="8"/>
        <v>231734.50000000003</v>
      </c>
      <c r="BH21" s="126">
        <f t="shared" si="9"/>
        <v>0</v>
      </c>
      <c r="BI21" s="126">
        <f t="shared" si="10"/>
        <v>0</v>
      </c>
      <c r="BJ21" s="126">
        <f t="shared" si="11"/>
        <v>0</v>
      </c>
      <c r="BK21" s="126">
        <f t="shared" si="12"/>
        <v>0</v>
      </c>
      <c r="BL21" s="126">
        <f t="shared" si="13"/>
        <v>-27134.333024002735</v>
      </c>
      <c r="BM21" s="126">
        <f t="shared" si="14"/>
        <v>-655030.88157081918</v>
      </c>
      <c r="BN21" s="126">
        <f t="shared" si="15"/>
        <v>0</v>
      </c>
      <c r="BO21" s="126">
        <f t="shared" si="16"/>
        <v>27134.333024002728</v>
      </c>
      <c r="BP21" s="126">
        <f t="shared" si="17"/>
        <v>655030.88157081942</v>
      </c>
    </row>
    <row r="22" spans="1:68" ht="15" x14ac:dyDescent="0.25">
      <c r="A22" s="126" t="s">
        <v>1311</v>
      </c>
      <c r="B22" s="362">
        <v>5357</v>
      </c>
      <c r="C22" s="127">
        <v>1</v>
      </c>
      <c r="D22" s="128" t="s">
        <v>1427</v>
      </c>
      <c r="F22" s="141">
        <v>0</v>
      </c>
      <c r="G22" s="141">
        <v>0</v>
      </c>
      <c r="H22" s="141">
        <v>0</v>
      </c>
      <c r="I22" s="141">
        <v>0</v>
      </c>
      <c r="J22" s="141">
        <v>0</v>
      </c>
      <c r="K22" s="141">
        <v>0</v>
      </c>
      <c r="L22" s="141">
        <f>SUMIF('TS by Location'!$B$36:$B$470,$B22,'TS by Location'!$D$36:$D$473)</f>
        <v>0</v>
      </c>
      <c r="M22" s="141">
        <f>SUMIF('TS by Location'!$B$36:$B$470,$B22,'TS by Location'!$E$36:$E$473)</f>
        <v>0</v>
      </c>
      <c r="N22" s="141">
        <f>SUMIF('TS by Location'!$B$36:$B$470,$B22,'TS by Location'!$F$36:$F$473)</f>
        <v>50024.65</v>
      </c>
      <c r="O22" s="483"/>
      <c r="P22" s="142">
        <v>0</v>
      </c>
      <c r="Q22" s="142">
        <v>0</v>
      </c>
      <c r="R22" s="142">
        <v>0</v>
      </c>
      <c r="S22" s="142">
        <v>0</v>
      </c>
      <c r="T22" s="142">
        <v>0</v>
      </c>
      <c r="U22" s="142">
        <v>0</v>
      </c>
      <c r="V22" s="142">
        <f>SUMIF('DS by Location'!$B$9:$B$858,$B22,'DS by Location'!$D$9:$D$858)</f>
        <v>678.89</v>
      </c>
      <c r="W22" s="142">
        <f>SUMIF('DS by Location'!$B$9:$B$858,$B22,'DS by Location'!$E$9:$E$858)</f>
        <v>12925.800000000001</v>
      </c>
      <c r="X22" s="142">
        <f>SUMIF('DS by Location'!$B$9:$B$858,$B22,'DS by Location'!$F$9:$F$858)</f>
        <v>1172975.2800000005</v>
      </c>
      <c r="Z22" s="128" t="s">
        <v>1482</v>
      </c>
      <c r="AB22" s="141">
        <v>0</v>
      </c>
      <c r="AC22" s="141">
        <v>0</v>
      </c>
      <c r="AD22" s="141">
        <v>0</v>
      </c>
      <c r="AE22" s="141">
        <v>0</v>
      </c>
      <c r="AF22" s="141">
        <v>0</v>
      </c>
      <c r="AG22" s="141">
        <v>50024.649999999994</v>
      </c>
      <c r="AH22" s="141">
        <v>0</v>
      </c>
      <c r="AI22" s="141">
        <v>0</v>
      </c>
      <c r="AJ22" s="141">
        <v>0</v>
      </c>
      <c r="AK22" s="142"/>
      <c r="AL22" s="142">
        <v>0</v>
      </c>
      <c r="AM22" s="142">
        <v>0</v>
      </c>
      <c r="AN22" s="142">
        <v>0</v>
      </c>
      <c r="AO22" s="142">
        <v>57.316968832837176</v>
      </c>
      <c r="AP22" s="142">
        <v>1091.2926626397309</v>
      </c>
      <c r="AQ22" s="142">
        <v>53230.146609718868</v>
      </c>
      <c r="AR22" s="142">
        <v>621.57303116716287</v>
      </c>
      <c r="AS22" s="142">
        <v>11834.507337360268</v>
      </c>
      <c r="AT22" s="142">
        <v>1119745.1333902811</v>
      </c>
      <c r="AV22" s="143">
        <f t="shared" si="18"/>
        <v>0</v>
      </c>
      <c r="AX22" s="126">
        <f t="shared" si="0"/>
        <v>0</v>
      </c>
      <c r="AY22" s="126">
        <f t="shared" si="1"/>
        <v>0</v>
      </c>
      <c r="AZ22" s="126">
        <f t="shared" si="2"/>
        <v>0</v>
      </c>
      <c r="BA22" s="126">
        <f t="shared" si="3"/>
        <v>0</v>
      </c>
      <c r="BB22" s="126">
        <f t="shared" si="4"/>
        <v>0</v>
      </c>
      <c r="BC22" s="126">
        <f t="shared" si="5"/>
        <v>-50024.649999999994</v>
      </c>
      <c r="BD22" s="126">
        <f t="shared" si="6"/>
        <v>0</v>
      </c>
      <c r="BE22" s="126">
        <f t="shared" si="7"/>
        <v>0</v>
      </c>
      <c r="BF22" s="126">
        <f t="shared" si="8"/>
        <v>50024.65</v>
      </c>
      <c r="BH22" s="126">
        <f t="shared" si="9"/>
        <v>0</v>
      </c>
      <c r="BI22" s="126">
        <f t="shared" si="10"/>
        <v>0</v>
      </c>
      <c r="BJ22" s="126">
        <f t="shared" si="11"/>
        <v>0</v>
      </c>
      <c r="BK22" s="126">
        <f t="shared" si="12"/>
        <v>-57.316968832837176</v>
      </c>
      <c r="BL22" s="126">
        <f t="shared" si="13"/>
        <v>-1091.2926626397309</v>
      </c>
      <c r="BM22" s="126">
        <f t="shared" si="14"/>
        <v>-53230.146609718868</v>
      </c>
      <c r="BN22" s="126">
        <f t="shared" si="15"/>
        <v>57.316968832837119</v>
      </c>
      <c r="BO22" s="126">
        <f t="shared" si="16"/>
        <v>1091.292662639733</v>
      </c>
      <c r="BP22" s="126">
        <f t="shared" si="17"/>
        <v>53230.146609719377</v>
      </c>
    </row>
    <row r="23" spans="1:68" ht="15" x14ac:dyDescent="0.25">
      <c r="A23" s="346" t="s">
        <v>3319</v>
      </c>
      <c r="B23" s="362">
        <v>5566</v>
      </c>
      <c r="C23" s="127">
        <v>1</v>
      </c>
      <c r="D23" s="128" t="s">
        <v>1427</v>
      </c>
      <c r="F23" s="141">
        <v>0</v>
      </c>
      <c r="G23" s="141">
        <v>0</v>
      </c>
      <c r="H23" s="141">
        <v>0</v>
      </c>
      <c r="I23" s="141">
        <v>0</v>
      </c>
      <c r="J23" s="141">
        <v>0</v>
      </c>
      <c r="K23" s="141">
        <v>0</v>
      </c>
      <c r="L23" s="141">
        <f>SUMIF('TS by Location'!$B$36:$B$470,$B23,'TS by Location'!$D$36:$D$473)</f>
        <v>0</v>
      </c>
      <c r="M23" s="141">
        <f>SUMIF('TS by Location'!$B$36:$B$470,$B23,'TS by Location'!$E$36:$E$473)</f>
        <v>0</v>
      </c>
      <c r="N23" s="141">
        <f>SUMIF('TS by Location'!$B$36:$B$470,$B23,'TS by Location'!$F$36:$F$473)</f>
        <v>189904.62</v>
      </c>
      <c r="O23" s="483"/>
      <c r="P23" s="142">
        <v>0</v>
      </c>
      <c r="Q23" s="142">
        <v>0</v>
      </c>
      <c r="R23" s="142">
        <v>0</v>
      </c>
      <c r="S23" s="142">
        <v>0</v>
      </c>
      <c r="T23" s="142">
        <v>0</v>
      </c>
      <c r="U23" s="142">
        <v>0</v>
      </c>
      <c r="V23" s="142">
        <f>SUMIF('DS by Location'!$B$9:$B$858,$B23,'DS by Location'!$D$9:$D$858)</f>
        <v>15905.07</v>
      </c>
      <c r="W23" s="142">
        <f>SUMIF('DS by Location'!$B$9:$B$858,$B23,'DS by Location'!$E$9:$E$858)</f>
        <v>290769.74</v>
      </c>
      <c r="X23" s="142">
        <f>SUMIF('DS by Location'!$B$9:$B$858,$B23,'DS by Location'!$F$9:$F$858)</f>
        <v>6263764.4399999995</v>
      </c>
      <c r="Z23" s="128" t="s">
        <v>1482</v>
      </c>
      <c r="AB23" s="141">
        <v>0</v>
      </c>
      <c r="AC23" s="141">
        <v>0</v>
      </c>
      <c r="AD23" s="141">
        <v>0</v>
      </c>
      <c r="AE23" s="141">
        <v>0</v>
      </c>
      <c r="AF23" s="141">
        <v>0</v>
      </c>
      <c r="AG23" s="141">
        <v>189904.62</v>
      </c>
      <c r="AH23" s="141">
        <v>0</v>
      </c>
      <c r="AI23" s="141">
        <v>0</v>
      </c>
      <c r="AJ23" s="141">
        <v>0</v>
      </c>
      <c r="AK23" s="142"/>
      <c r="AL23" s="142">
        <v>0</v>
      </c>
      <c r="AM23" s="142">
        <v>0</v>
      </c>
      <c r="AN23" s="142">
        <v>0</v>
      </c>
      <c r="AO23" s="142">
        <v>3074.3734362079886</v>
      </c>
      <c r="AP23" s="142">
        <v>52474.123947198284</v>
      </c>
      <c r="AQ23" s="142">
        <v>1061288.7965823612</v>
      </c>
      <c r="AR23" s="142">
        <v>12830.696563792011</v>
      </c>
      <c r="AS23" s="142">
        <v>238295.61605280172</v>
      </c>
      <c r="AT23" s="142">
        <v>5202475.6434176387</v>
      </c>
      <c r="AV23" s="143">
        <f t="shared" si="18"/>
        <v>0</v>
      </c>
      <c r="AX23" s="126">
        <f t="shared" si="0"/>
        <v>0</v>
      </c>
      <c r="AY23" s="126">
        <f t="shared" si="1"/>
        <v>0</v>
      </c>
      <c r="AZ23" s="126">
        <f t="shared" si="2"/>
        <v>0</v>
      </c>
      <c r="BA23" s="126">
        <f t="shared" si="3"/>
        <v>0</v>
      </c>
      <c r="BB23" s="126">
        <f t="shared" si="4"/>
        <v>0</v>
      </c>
      <c r="BC23" s="126">
        <f t="shared" si="5"/>
        <v>-189904.62</v>
      </c>
      <c r="BD23" s="126">
        <f t="shared" si="6"/>
        <v>0</v>
      </c>
      <c r="BE23" s="126">
        <f t="shared" si="7"/>
        <v>0</v>
      </c>
      <c r="BF23" s="126">
        <f t="shared" si="8"/>
        <v>189904.62</v>
      </c>
      <c r="BH23" s="126">
        <f t="shared" si="9"/>
        <v>0</v>
      </c>
      <c r="BI23" s="126">
        <f t="shared" si="10"/>
        <v>0</v>
      </c>
      <c r="BJ23" s="126">
        <f t="shared" si="11"/>
        <v>0</v>
      </c>
      <c r="BK23" s="126">
        <f t="shared" si="12"/>
        <v>-3074.3734362079886</v>
      </c>
      <c r="BL23" s="126">
        <f t="shared" si="13"/>
        <v>-52474.123947198284</v>
      </c>
      <c r="BM23" s="126">
        <f t="shared" si="14"/>
        <v>-1061288.7965823612</v>
      </c>
      <c r="BN23" s="126">
        <f t="shared" si="15"/>
        <v>3074.3734362079886</v>
      </c>
      <c r="BO23" s="126">
        <f t="shared" si="16"/>
        <v>52474.12394719827</v>
      </c>
      <c r="BP23" s="126">
        <f t="shared" si="17"/>
        <v>1061288.7965823608</v>
      </c>
    </row>
    <row r="24" spans="1:68" ht="15" x14ac:dyDescent="0.25">
      <c r="A24" s="126" t="s">
        <v>1312</v>
      </c>
      <c r="B24" s="362">
        <v>5512</v>
      </c>
      <c r="C24" s="127">
        <v>1</v>
      </c>
      <c r="D24" s="128" t="s">
        <v>1427</v>
      </c>
      <c r="F24" s="141">
        <v>0</v>
      </c>
      <c r="G24" s="141">
        <v>0</v>
      </c>
      <c r="H24" s="141">
        <v>0</v>
      </c>
      <c r="I24" s="141">
        <v>0</v>
      </c>
      <c r="J24" s="141">
        <v>0</v>
      </c>
      <c r="K24" s="141">
        <v>0</v>
      </c>
      <c r="L24" s="141">
        <f>SUMIF('TS by Location'!$B$36:$B$470,$B24,'TS by Location'!$D$36:$D$473)</f>
        <v>0</v>
      </c>
      <c r="M24" s="141">
        <f>SUMIF('TS by Location'!$B$36:$B$470,$B24,'TS by Location'!$E$36:$E$473)</f>
        <v>0</v>
      </c>
      <c r="N24" s="141">
        <f>SUMIF('TS by Location'!$B$36:$B$470,$B24,'TS by Location'!$F$36:$F$473)</f>
        <v>0</v>
      </c>
      <c r="O24" s="483"/>
      <c r="P24" s="142">
        <v>0</v>
      </c>
      <c r="Q24" s="142">
        <v>0</v>
      </c>
      <c r="R24" s="142">
        <v>0</v>
      </c>
      <c r="S24" s="142">
        <v>0</v>
      </c>
      <c r="T24" s="142">
        <v>0</v>
      </c>
      <c r="U24" s="142">
        <v>0</v>
      </c>
      <c r="V24" s="142">
        <f>SUMIF('DS by Location'!$B$9:$B$858,$B24,'DS by Location'!$D$9:$D$858)</f>
        <v>382.78000000000003</v>
      </c>
      <c r="W24" s="142">
        <f>SUMIF('DS by Location'!$B$9:$B$858,$B24,'DS by Location'!$E$9:$E$858)</f>
        <v>164070.01</v>
      </c>
      <c r="X24" s="142">
        <f>SUMIF('DS by Location'!$B$9:$B$858,$B24,'DS by Location'!$F$9:$F$858)</f>
        <v>1031548.77</v>
      </c>
      <c r="Z24" s="128" t="s">
        <v>1482</v>
      </c>
      <c r="AB24" s="141">
        <v>0</v>
      </c>
      <c r="AC24" s="141">
        <v>0</v>
      </c>
      <c r="AD24" s="141">
        <v>0</v>
      </c>
      <c r="AE24" s="141">
        <v>0</v>
      </c>
      <c r="AF24" s="141">
        <v>0</v>
      </c>
      <c r="AG24" s="141">
        <v>0</v>
      </c>
      <c r="AH24" s="141">
        <v>0</v>
      </c>
      <c r="AI24" s="141">
        <v>0</v>
      </c>
      <c r="AJ24" s="141">
        <v>0</v>
      </c>
      <c r="AK24" s="142"/>
      <c r="AL24" s="142">
        <v>0</v>
      </c>
      <c r="AM24" s="142">
        <v>0</v>
      </c>
      <c r="AN24" s="142">
        <v>0</v>
      </c>
      <c r="AO24" s="454">
        <v>56.934593500022451</v>
      </c>
      <c r="AP24" s="454">
        <v>24403.728838744497</v>
      </c>
      <c r="AQ24" s="454">
        <v>153432.28459009915</v>
      </c>
      <c r="AR24" s="484">
        <v>325.84540649997757</v>
      </c>
      <c r="AS24" s="484">
        <v>139666.28116125549</v>
      </c>
      <c r="AT24" s="484">
        <v>878116.4854099009</v>
      </c>
      <c r="AV24" s="143">
        <f t="shared" si="18"/>
        <v>0</v>
      </c>
      <c r="AX24" s="126">
        <f t="shared" si="0"/>
        <v>0</v>
      </c>
      <c r="AY24" s="126">
        <f t="shared" si="1"/>
        <v>0</v>
      </c>
      <c r="AZ24" s="126">
        <f t="shared" si="2"/>
        <v>0</v>
      </c>
      <c r="BA24" s="126">
        <f t="shared" si="3"/>
        <v>0</v>
      </c>
      <c r="BB24" s="126">
        <f t="shared" si="4"/>
        <v>0</v>
      </c>
      <c r="BC24" s="126">
        <f t="shared" si="5"/>
        <v>0</v>
      </c>
      <c r="BD24" s="126">
        <f t="shared" si="6"/>
        <v>0</v>
      </c>
      <c r="BE24" s="126">
        <f t="shared" si="7"/>
        <v>0</v>
      </c>
      <c r="BF24" s="126">
        <f t="shared" si="8"/>
        <v>0</v>
      </c>
      <c r="BH24" s="126">
        <f t="shared" si="9"/>
        <v>0</v>
      </c>
      <c r="BI24" s="126">
        <f t="shared" si="10"/>
        <v>0</v>
      </c>
      <c r="BJ24" s="126">
        <f t="shared" si="11"/>
        <v>0</v>
      </c>
      <c r="BK24" s="126">
        <f t="shared" si="12"/>
        <v>-56.934593500022451</v>
      </c>
      <c r="BL24" s="126">
        <f t="shared" si="13"/>
        <v>-24403.728838744497</v>
      </c>
      <c r="BM24" s="126">
        <f t="shared" si="14"/>
        <v>-153432.28459009915</v>
      </c>
      <c r="BN24" s="126">
        <f t="shared" si="15"/>
        <v>56.934593500022459</v>
      </c>
      <c r="BO24" s="126">
        <f t="shared" si="16"/>
        <v>24403.728838744515</v>
      </c>
      <c r="BP24" s="126">
        <f t="shared" si="17"/>
        <v>153432.28459009912</v>
      </c>
    </row>
    <row r="25" spans="1:68" ht="15" x14ac:dyDescent="0.25">
      <c r="A25" s="346" t="s">
        <v>3323</v>
      </c>
      <c r="B25" s="362">
        <v>5079</v>
      </c>
      <c r="C25" s="127"/>
      <c r="D25" s="128" t="s">
        <v>1482</v>
      </c>
      <c r="F25" s="453">
        <v>0</v>
      </c>
      <c r="G25" s="453">
        <v>0</v>
      </c>
      <c r="H25" s="453">
        <v>0</v>
      </c>
      <c r="I25" s="453"/>
      <c r="J25" s="453"/>
      <c r="K25" s="453"/>
      <c r="L25" s="453"/>
      <c r="M25" s="453"/>
      <c r="N25" s="453"/>
      <c r="O25" s="483"/>
      <c r="P25" s="454">
        <v>0</v>
      </c>
      <c r="Q25" s="454">
        <v>0</v>
      </c>
      <c r="R25" s="454">
        <v>0</v>
      </c>
      <c r="S25" s="454"/>
      <c r="T25" s="454"/>
      <c r="U25" s="454"/>
      <c r="V25" s="454"/>
      <c r="W25" s="454"/>
      <c r="X25" s="454"/>
      <c r="Z25" s="128" t="s">
        <v>1482</v>
      </c>
      <c r="AB25" s="141">
        <v>0</v>
      </c>
      <c r="AC25" s="141">
        <v>0</v>
      </c>
      <c r="AD25" s="141">
        <v>0</v>
      </c>
      <c r="AE25" s="141"/>
      <c r="AF25" s="141"/>
      <c r="AG25" s="141"/>
      <c r="AH25" s="141"/>
      <c r="AI25" s="141"/>
      <c r="AJ25" s="141"/>
      <c r="AK25" s="142"/>
      <c r="AL25" s="142">
        <v>0</v>
      </c>
      <c r="AM25" s="142">
        <v>0</v>
      </c>
      <c r="AN25" s="142">
        <v>0</v>
      </c>
      <c r="AO25" s="142"/>
      <c r="AP25" s="142"/>
      <c r="AQ25" s="142"/>
      <c r="AR25" s="142"/>
      <c r="AS25" s="142"/>
      <c r="AT25" s="142"/>
      <c r="AV25" s="143">
        <f t="shared" si="18"/>
        <v>0</v>
      </c>
      <c r="AX25" s="126">
        <f t="shared" si="0"/>
        <v>0</v>
      </c>
      <c r="AY25" s="126">
        <f t="shared" si="1"/>
        <v>0</v>
      </c>
      <c r="AZ25" s="126">
        <f t="shared" si="2"/>
        <v>0</v>
      </c>
      <c r="BA25" s="126">
        <f t="shared" si="3"/>
        <v>0</v>
      </c>
      <c r="BB25" s="126">
        <f t="shared" si="4"/>
        <v>0</v>
      </c>
      <c r="BC25" s="126">
        <f t="shared" si="5"/>
        <v>0</v>
      </c>
      <c r="BD25" s="126">
        <f t="shared" si="6"/>
        <v>0</v>
      </c>
      <c r="BE25" s="126">
        <f t="shared" si="7"/>
        <v>0</v>
      </c>
      <c r="BF25" s="126">
        <f t="shared" si="8"/>
        <v>0</v>
      </c>
      <c r="BH25" s="126">
        <f t="shared" si="9"/>
        <v>0</v>
      </c>
      <c r="BI25" s="126">
        <f t="shared" si="10"/>
        <v>0</v>
      </c>
      <c r="BJ25" s="126">
        <f t="shared" si="11"/>
        <v>0</v>
      </c>
      <c r="BK25" s="126">
        <f t="shared" si="12"/>
        <v>0</v>
      </c>
      <c r="BL25" s="126">
        <f t="shared" si="13"/>
        <v>0</v>
      </c>
      <c r="BM25" s="126">
        <f t="shared" si="14"/>
        <v>0</v>
      </c>
      <c r="BN25" s="126">
        <f t="shared" si="15"/>
        <v>0</v>
      </c>
      <c r="BO25" s="126">
        <f t="shared" si="16"/>
        <v>0</v>
      </c>
      <c r="BP25" s="126">
        <f t="shared" si="17"/>
        <v>0</v>
      </c>
    </row>
    <row r="26" spans="1:68" ht="15" x14ac:dyDescent="0.25">
      <c r="A26" s="126" t="s">
        <v>1313</v>
      </c>
      <c r="B26" s="362">
        <v>5358</v>
      </c>
      <c r="C26" s="127">
        <v>1</v>
      </c>
      <c r="D26" s="128" t="s">
        <v>1427</v>
      </c>
      <c r="F26" s="141">
        <v>0</v>
      </c>
      <c r="G26" s="141">
        <v>0</v>
      </c>
      <c r="H26" s="141">
        <v>0</v>
      </c>
      <c r="I26" s="141">
        <v>0</v>
      </c>
      <c r="J26" s="141">
        <v>0</v>
      </c>
      <c r="K26" s="141">
        <v>0</v>
      </c>
      <c r="L26" s="141">
        <f>SUMIF('TS by Location'!$B$36:$B$470,$B26,'TS by Location'!$D$36:$D$473)</f>
        <v>0</v>
      </c>
      <c r="M26" s="141">
        <f>SUMIF('TS by Location'!$B$36:$B$470,$B26,'TS by Location'!$E$36:$E$473)</f>
        <v>0</v>
      </c>
      <c r="N26" s="141">
        <f>SUMIF('TS by Location'!$B$36:$B$470,$B26,'TS by Location'!$F$36:$F$473)</f>
        <v>1245448.76</v>
      </c>
      <c r="O26" s="483"/>
      <c r="P26" s="142">
        <v>0</v>
      </c>
      <c r="Q26" s="142">
        <v>0</v>
      </c>
      <c r="R26" s="142">
        <v>0</v>
      </c>
      <c r="S26" s="142">
        <v>0</v>
      </c>
      <c r="T26" s="142">
        <v>0</v>
      </c>
      <c r="U26" s="142">
        <v>0</v>
      </c>
      <c r="V26" s="142">
        <f>SUMIF('DS by Location'!$B$9:$B$858,$B26,'DS by Location'!$D$9:$D$858)</f>
        <v>295.7</v>
      </c>
      <c r="W26" s="142">
        <f>SUMIF('DS by Location'!$B$9:$B$858,$B26,'DS by Location'!$E$9:$E$858)</f>
        <v>640438.54999999993</v>
      </c>
      <c r="X26" s="142">
        <f>SUMIF('DS by Location'!$B$9:$B$858,$B26,'DS by Location'!$F$9:$F$858)</f>
        <v>8271511.7800000031</v>
      </c>
      <c r="Z26" s="128" t="s">
        <v>1482</v>
      </c>
      <c r="AB26" s="141">
        <v>0</v>
      </c>
      <c r="AC26" s="141">
        <v>0</v>
      </c>
      <c r="AD26" s="141">
        <v>0</v>
      </c>
      <c r="AE26" s="141">
        <v>0</v>
      </c>
      <c r="AF26" s="141">
        <v>0</v>
      </c>
      <c r="AG26" s="141">
        <v>1142050.1482824141</v>
      </c>
      <c r="AH26" s="141">
        <v>0</v>
      </c>
      <c r="AI26" s="141">
        <v>0</v>
      </c>
      <c r="AJ26" s="141">
        <v>103398.61171758593</v>
      </c>
      <c r="AK26" s="142"/>
      <c r="AL26" s="142">
        <v>0</v>
      </c>
      <c r="AM26" s="142">
        <v>0</v>
      </c>
      <c r="AN26" s="142">
        <v>0</v>
      </c>
      <c r="AO26" s="142">
        <v>37.630916716401167</v>
      </c>
      <c r="AP26" s="142">
        <v>79982.537125835457</v>
      </c>
      <c r="AQ26" s="142">
        <v>70602.550340952133</v>
      </c>
      <c r="AR26" s="142">
        <v>258.06908328359879</v>
      </c>
      <c r="AS26" s="142">
        <v>560456.0128741645</v>
      </c>
      <c r="AT26" s="142">
        <v>8200909.2296590451</v>
      </c>
      <c r="AV26" s="143">
        <f t="shared" si="18"/>
        <v>0</v>
      </c>
      <c r="AX26" s="126">
        <f t="shared" si="0"/>
        <v>0</v>
      </c>
      <c r="AY26" s="126">
        <f t="shared" si="1"/>
        <v>0</v>
      </c>
      <c r="AZ26" s="126">
        <f t="shared" si="2"/>
        <v>0</v>
      </c>
      <c r="BA26" s="126">
        <f t="shared" si="3"/>
        <v>0</v>
      </c>
      <c r="BB26" s="126">
        <f t="shared" si="4"/>
        <v>0</v>
      </c>
      <c r="BC26" s="126">
        <f t="shared" si="5"/>
        <v>-1142050.1482824141</v>
      </c>
      <c r="BD26" s="126">
        <f t="shared" si="6"/>
        <v>0</v>
      </c>
      <c r="BE26" s="126">
        <f t="shared" si="7"/>
        <v>0</v>
      </c>
      <c r="BF26" s="126">
        <f t="shared" si="8"/>
        <v>1142050.1482824141</v>
      </c>
      <c r="BH26" s="126">
        <f t="shared" si="9"/>
        <v>0</v>
      </c>
      <c r="BI26" s="126">
        <f t="shared" si="10"/>
        <v>0</v>
      </c>
      <c r="BJ26" s="126">
        <f t="shared" si="11"/>
        <v>0</v>
      </c>
      <c r="BK26" s="126">
        <f t="shared" si="12"/>
        <v>-37.630916716401167</v>
      </c>
      <c r="BL26" s="126">
        <f t="shared" si="13"/>
        <v>-79982.537125835457</v>
      </c>
      <c r="BM26" s="126">
        <f t="shared" si="14"/>
        <v>-70602.550340952133</v>
      </c>
      <c r="BN26" s="126">
        <f t="shared" si="15"/>
        <v>37.630916716401202</v>
      </c>
      <c r="BO26" s="126">
        <f t="shared" si="16"/>
        <v>79982.537125835428</v>
      </c>
      <c r="BP26" s="126">
        <f t="shared" si="17"/>
        <v>70602.55034095794</v>
      </c>
    </row>
    <row r="27" spans="1:68" ht="15" x14ac:dyDescent="0.25">
      <c r="A27" s="126" t="s">
        <v>3327</v>
      </c>
      <c r="B27" s="362">
        <v>8504</v>
      </c>
      <c r="C27" s="127">
        <v>1</v>
      </c>
      <c r="D27" s="128" t="s">
        <v>1427</v>
      </c>
      <c r="F27" s="141">
        <v>0</v>
      </c>
      <c r="G27" s="141">
        <v>0</v>
      </c>
      <c r="H27" s="141">
        <v>0</v>
      </c>
      <c r="I27" s="141">
        <v>0</v>
      </c>
      <c r="J27" s="141">
        <v>0</v>
      </c>
      <c r="K27" s="141">
        <v>0</v>
      </c>
      <c r="L27" s="141">
        <f>SUMIF('TS by Location'!$B$36:$B$470,$B27,'TS by Location'!$D$36:$D$473)</f>
        <v>942423.45000000007</v>
      </c>
      <c r="M27" s="141">
        <f>SUMIF('TS by Location'!$B$36:$B$470,$B27,'TS by Location'!$E$36:$E$473)</f>
        <v>0</v>
      </c>
      <c r="N27" s="141">
        <f>SUMIF('TS by Location'!$B$36:$B$470,$B27,'TS by Location'!$F$36:$F$473)</f>
        <v>0</v>
      </c>
      <c r="O27" s="483"/>
      <c r="P27" s="142">
        <v>0</v>
      </c>
      <c r="Q27" s="142">
        <v>0</v>
      </c>
      <c r="R27" s="142">
        <v>0</v>
      </c>
      <c r="S27" s="142">
        <v>0</v>
      </c>
      <c r="T27" s="142">
        <v>0</v>
      </c>
      <c r="U27" s="142">
        <v>0</v>
      </c>
      <c r="V27" s="142">
        <f>SUMIF('DS by Location'!$B$9:$B$858,$B27,'DS by Location'!$D$9:$D$858)</f>
        <v>0</v>
      </c>
      <c r="W27" s="142">
        <f>SUMIF('DS by Location'!$B$9:$B$858,$B27,'DS by Location'!$E$9:$E$858)</f>
        <v>610351.94000000018</v>
      </c>
      <c r="X27" s="142">
        <f>SUMIF('DS by Location'!$B$9:$B$858,$B27,'DS by Location'!$F$9:$F$858)</f>
        <v>8828177.4900000021</v>
      </c>
      <c r="Z27" s="128" t="s">
        <v>1482</v>
      </c>
      <c r="AB27" s="141">
        <v>0</v>
      </c>
      <c r="AC27" s="141">
        <v>0</v>
      </c>
      <c r="AD27" s="141">
        <v>0</v>
      </c>
      <c r="AE27" s="141">
        <v>351410.00063079083</v>
      </c>
      <c r="AF27" s="141">
        <v>0</v>
      </c>
      <c r="AG27" s="141">
        <v>0</v>
      </c>
      <c r="AH27" s="141">
        <v>591013.44936920935</v>
      </c>
      <c r="AI27" s="141">
        <v>0</v>
      </c>
      <c r="AJ27" s="141">
        <v>0</v>
      </c>
      <c r="AK27" s="142"/>
      <c r="AL27" s="142">
        <v>0</v>
      </c>
      <c r="AM27" s="142">
        <v>0</v>
      </c>
      <c r="AN27" s="142">
        <v>0</v>
      </c>
      <c r="AO27" s="142">
        <v>0</v>
      </c>
      <c r="AP27" s="142">
        <v>227597.62265644516</v>
      </c>
      <c r="AQ27" s="142">
        <v>3291832.6641748496</v>
      </c>
      <c r="AR27" s="142">
        <v>0</v>
      </c>
      <c r="AS27" s="142">
        <v>382754.31734355493</v>
      </c>
      <c r="AT27" s="142">
        <v>5536344.825825152</v>
      </c>
      <c r="AV27" s="143">
        <f>SUM(F27:X27)-SUM(AB27:AT27)</f>
        <v>0</v>
      </c>
      <c r="AX27" s="126">
        <f t="shared" si="0"/>
        <v>0</v>
      </c>
      <c r="AY27" s="126">
        <f t="shared" si="1"/>
        <v>0</v>
      </c>
      <c r="AZ27" s="126">
        <f t="shared" si="2"/>
        <v>0</v>
      </c>
      <c r="BA27" s="126">
        <f t="shared" si="3"/>
        <v>-351410.00063079083</v>
      </c>
      <c r="BB27" s="126">
        <f t="shared" si="4"/>
        <v>0</v>
      </c>
      <c r="BC27" s="126">
        <f t="shared" si="5"/>
        <v>0</v>
      </c>
      <c r="BD27" s="126">
        <f t="shared" si="6"/>
        <v>351410.00063079072</v>
      </c>
      <c r="BE27" s="126">
        <f t="shared" si="7"/>
        <v>0</v>
      </c>
      <c r="BF27" s="126">
        <f t="shared" si="8"/>
        <v>0</v>
      </c>
      <c r="BH27" s="126">
        <f t="shared" si="9"/>
        <v>0</v>
      </c>
      <c r="BI27" s="126">
        <f t="shared" si="10"/>
        <v>0</v>
      </c>
      <c r="BJ27" s="126">
        <f t="shared" si="11"/>
        <v>0</v>
      </c>
      <c r="BK27" s="126">
        <f t="shared" si="12"/>
        <v>0</v>
      </c>
      <c r="BL27" s="126">
        <f t="shared" si="13"/>
        <v>-227597.62265644516</v>
      </c>
      <c r="BM27" s="126">
        <f t="shared" si="14"/>
        <v>-3291832.6641748496</v>
      </c>
      <c r="BN27" s="126">
        <f t="shared" si="15"/>
        <v>0</v>
      </c>
      <c r="BO27" s="126">
        <f t="shared" si="16"/>
        <v>227597.62265644525</v>
      </c>
      <c r="BP27" s="126">
        <f t="shared" si="17"/>
        <v>3291832.6641748501</v>
      </c>
    </row>
    <row r="28" spans="1:68" ht="15" x14ac:dyDescent="0.25">
      <c r="A28" s="126" t="s">
        <v>1314</v>
      </c>
      <c r="B28" s="362">
        <v>2313</v>
      </c>
      <c r="C28" s="127">
        <v>1</v>
      </c>
      <c r="D28" s="128" t="s">
        <v>1427</v>
      </c>
      <c r="F28" s="141">
        <v>0</v>
      </c>
      <c r="G28" s="141">
        <v>0</v>
      </c>
      <c r="H28" s="141">
        <v>0</v>
      </c>
      <c r="I28" s="141">
        <v>0</v>
      </c>
      <c r="J28" s="141">
        <v>0</v>
      </c>
      <c r="K28" s="141">
        <v>0</v>
      </c>
      <c r="L28" s="141">
        <f>SUMIF('TS by Location'!$B$36:$B$470,$B28,'TS by Location'!$D$36:$D$473)</f>
        <v>0</v>
      </c>
      <c r="M28" s="141">
        <f>SUMIF('TS by Location'!$B$36:$B$470,$B28,'TS by Location'!$E$36:$E$473)</f>
        <v>4183.66</v>
      </c>
      <c r="N28" s="141">
        <f>SUMIF('TS by Location'!$B$36:$B$470,$B28,'TS by Location'!$F$36:$F$473)</f>
        <v>354262.18000000011</v>
      </c>
      <c r="O28" s="483"/>
      <c r="P28" s="142">
        <v>0</v>
      </c>
      <c r="Q28" s="142">
        <v>0</v>
      </c>
      <c r="R28" s="142">
        <v>0</v>
      </c>
      <c r="S28" s="142">
        <v>0</v>
      </c>
      <c r="T28" s="142">
        <v>0</v>
      </c>
      <c r="U28" s="142">
        <v>0</v>
      </c>
      <c r="V28" s="142">
        <f>SUMIF('DS by Location'!$B$9:$B$858,$B28,'DS by Location'!$D$9:$D$858)</f>
        <v>0</v>
      </c>
      <c r="W28" s="142">
        <f>SUMIF('DS by Location'!$B$9:$B$858,$B28,'DS by Location'!$E$9:$E$858)</f>
        <v>0</v>
      </c>
      <c r="X28" s="142">
        <f>SUMIF('DS by Location'!$B$9:$B$858,$B28,'DS by Location'!$F$9:$F$858)</f>
        <v>0</v>
      </c>
      <c r="Z28" s="128" t="s">
        <v>1482</v>
      </c>
      <c r="AB28" s="141">
        <v>0</v>
      </c>
      <c r="AC28" s="141">
        <v>0</v>
      </c>
      <c r="AD28" s="141">
        <v>0</v>
      </c>
      <c r="AE28" s="141">
        <v>0</v>
      </c>
      <c r="AF28" s="141">
        <v>2138.0428429581966</v>
      </c>
      <c r="AG28" s="141">
        <v>181855.91936040806</v>
      </c>
      <c r="AH28" s="141">
        <v>0</v>
      </c>
      <c r="AI28" s="141">
        <v>2045.6171570418051</v>
      </c>
      <c r="AJ28" s="141">
        <v>172406.26063959228</v>
      </c>
      <c r="AK28" s="142"/>
      <c r="AL28" s="142">
        <v>0</v>
      </c>
      <c r="AM28" s="142">
        <v>0</v>
      </c>
      <c r="AN28" s="142">
        <v>0</v>
      </c>
      <c r="AO28" s="142">
        <v>0</v>
      </c>
      <c r="AP28" s="142">
        <v>0</v>
      </c>
      <c r="AQ28" s="142">
        <v>0</v>
      </c>
      <c r="AR28" s="142">
        <v>0</v>
      </c>
      <c r="AS28" s="142">
        <v>0</v>
      </c>
      <c r="AT28" s="142">
        <v>0</v>
      </c>
      <c r="AV28" s="143">
        <f t="shared" si="18"/>
        <v>0</v>
      </c>
      <c r="AX28" s="126">
        <f t="shared" si="0"/>
        <v>0</v>
      </c>
      <c r="AY28" s="126">
        <f t="shared" si="1"/>
        <v>0</v>
      </c>
      <c r="AZ28" s="126">
        <f t="shared" si="2"/>
        <v>0</v>
      </c>
      <c r="BA28" s="126">
        <f t="shared" si="3"/>
        <v>0</v>
      </c>
      <c r="BB28" s="126">
        <f t="shared" si="4"/>
        <v>-2138.0428429581966</v>
      </c>
      <c r="BC28" s="126">
        <f t="shared" si="5"/>
        <v>-181855.91936040806</v>
      </c>
      <c r="BD28" s="126">
        <f t="shared" si="6"/>
        <v>0</v>
      </c>
      <c r="BE28" s="126">
        <f t="shared" si="7"/>
        <v>2138.0428429581948</v>
      </c>
      <c r="BF28" s="126">
        <f t="shared" si="8"/>
        <v>181855.91936040783</v>
      </c>
      <c r="BH28" s="126">
        <f t="shared" si="9"/>
        <v>0</v>
      </c>
      <c r="BI28" s="126">
        <f t="shared" si="10"/>
        <v>0</v>
      </c>
      <c r="BJ28" s="126">
        <f t="shared" si="11"/>
        <v>0</v>
      </c>
      <c r="BK28" s="126">
        <f t="shared" si="12"/>
        <v>0</v>
      </c>
      <c r="BL28" s="126">
        <f t="shared" si="13"/>
        <v>0</v>
      </c>
      <c r="BM28" s="126">
        <f t="shared" si="14"/>
        <v>0</v>
      </c>
      <c r="BN28" s="126">
        <f t="shared" si="15"/>
        <v>0</v>
      </c>
      <c r="BO28" s="126">
        <f t="shared" si="16"/>
        <v>0</v>
      </c>
      <c r="BP28" s="126">
        <f t="shared" si="17"/>
        <v>0</v>
      </c>
    </row>
    <row r="29" spans="1:68" s="496" customFormat="1" ht="15" x14ac:dyDescent="0.25">
      <c r="B29" s="497"/>
      <c r="C29" s="498"/>
      <c r="D29" s="498"/>
      <c r="F29" s="499"/>
      <c r="G29" s="499"/>
      <c r="H29" s="499"/>
      <c r="I29" s="499"/>
      <c r="J29" s="499"/>
      <c r="K29" s="499"/>
      <c r="L29" s="499"/>
      <c r="M29" s="499"/>
      <c r="N29" s="499"/>
      <c r="O29" s="500"/>
      <c r="P29" s="501"/>
      <c r="Q29" s="501"/>
      <c r="R29" s="501"/>
      <c r="S29" s="501"/>
      <c r="T29" s="501"/>
      <c r="U29" s="501"/>
      <c r="V29" s="501"/>
      <c r="W29" s="501"/>
      <c r="X29" s="501"/>
      <c r="Z29" s="498"/>
      <c r="AB29" s="499"/>
      <c r="AC29" s="499"/>
      <c r="AD29" s="499"/>
      <c r="AE29" s="499"/>
      <c r="AF29" s="499"/>
      <c r="AG29" s="499"/>
      <c r="AH29" s="499"/>
      <c r="AI29" s="499"/>
      <c r="AJ29" s="499"/>
      <c r="AK29" s="501"/>
      <c r="AL29" s="501"/>
      <c r="AM29" s="501"/>
      <c r="AN29" s="501"/>
      <c r="AO29" s="501"/>
      <c r="AP29" s="501"/>
      <c r="AQ29" s="501"/>
      <c r="AR29" s="501"/>
      <c r="AS29" s="501"/>
      <c r="AT29" s="501"/>
      <c r="AV29" s="502"/>
    </row>
    <row r="30" spans="1:68" ht="15" x14ac:dyDescent="0.25">
      <c r="B30" s="40"/>
      <c r="F30" s="138"/>
      <c r="G30" s="138"/>
      <c r="H30" s="138"/>
      <c r="I30" s="138"/>
      <c r="K30" s="138"/>
      <c r="L30" s="138"/>
      <c r="M30" s="138"/>
      <c r="N30" s="138"/>
      <c r="P30" s="129"/>
      <c r="Q30" s="129"/>
      <c r="R30" s="129"/>
      <c r="S30" s="129"/>
      <c r="V30" s="129"/>
      <c r="W30" s="129"/>
      <c r="X30" s="129"/>
      <c r="AO30" s="458"/>
      <c r="AP30" s="458"/>
      <c r="AQ30" s="458"/>
      <c r="AR30" s="458"/>
      <c r="AS30" s="458"/>
      <c r="AT30" s="459"/>
    </row>
    <row r="31" spans="1:68" ht="15" x14ac:dyDescent="0.25">
      <c r="B31" s="40"/>
      <c r="F31" s="453"/>
      <c r="G31" s="453"/>
      <c r="H31" s="453"/>
      <c r="I31" s="453"/>
      <c r="J31" s="453"/>
      <c r="K31" s="453"/>
      <c r="L31" s="453"/>
      <c r="M31" s="453"/>
      <c r="N31" s="453"/>
      <c r="O31" s="454"/>
      <c r="P31" s="454"/>
      <c r="Q31" s="454"/>
      <c r="R31" s="454"/>
      <c r="S31" s="454"/>
      <c r="T31" s="454"/>
      <c r="U31" s="454"/>
      <c r="V31" s="454"/>
      <c r="W31" s="454"/>
      <c r="X31" s="454"/>
      <c r="AB31" s="453"/>
      <c r="AC31" s="453"/>
      <c r="AD31" s="453"/>
      <c r="AK31" s="454"/>
      <c r="AL31" s="454"/>
      <c r="AM31" s="454"/>
      <c r="AN31" s="454"/>
      <c r="AO31" s="454"/>
      <c r="AP31" s="454"/>
      <c r="AQ31" s="454"/>
      <c r="AR31" s="484"/>
      <c r="AS31" s="484"/>
      <c r="AT31" s="484"/>
    </row>
    <row r="32" spans="1:68" ht="15" x14ac:dyDescent="0.25">
      <c r="B32" s="40"/>
      <c r="F32" s="138"/>
      <c r="G32" s="138"/>
      <c r="H32" s="138"/>
      <c r="I32" s="138"/>
      <c r="K32" s="138"/>
      <c r="L32" s="138"/>
      <c r="M32" s="138"/>
      <c r="N32" s="138"/>
      <c r="P32" s="833"/>
      <c r="Q32" s="833"/>
      <c r="R32" s="833"/>
      <c r="S32" s="833"/>
      <c r="T32" s="833"/>
      <c r="U32" s="833"/>
      <c r="V32" s="833"/>
      <c r="W32" s="833"/>
      <c r="X32" s="833"/>
    </row>
    <row r="33" spans="1:33" x14ac:dyDescent="0.2">
      <c r="B33" s="133"/>
      <c r="K33" s="139"/>
      <c r="L33" s="139"/>
      <c r="M33" s="139"/>
      <c r="N33" s="139"/>
    </row>
    <row r="34" spans="1:33" x14ac:dyDescent="0.2">
      <c r="B34" s="40"/>
      <c r="K34" s="139"/>
      <c r="L34" s="139"/>
      <c r="M34" s="139"/>
      <c r="N34" s="139"/>
    </row>
    <row r="35" spans="1:33" x14ac:dyDescent="0.2">
      <c r="B35" s="40"/>
    </row>
    <row r="36" spans="1:33" x14ac:dyDescent="0.2">
      <c r="A36" s="346"/>
      <c r="B36" s="40"/>
    </row>
    <row r="37" spans="1:33" x14ac:dyDescent="0.2">
      <c r="B37" s="40"/>
      <c r="AG37" s="147"/>
    </row>
    <row r="38" spans="1:33" x14ac:dyDescent="0.2">
      <c r="B38" s="40"/>
    </row>
    <row r="39" spans="1:33" x14ac:dyDescent="0.2">
      <c r="B39" s="40"/>
    </row>
    <row r="40" spans="1:33" x14ac:dyDescent="0.2">
      <c r="B40" s="40"/>
    </row>
    <row r="41" spans="1:33" x14ac:dyDescent="0.2">
      <c r="B41" s="40"/>
    </row>
    <row r="42" spans="1:33" x14ac:dyDescent="0.2">
      <c r="B42" s="40"/>
    </row>
    <row r="43" spans="1:33" x14ac:dyDescent="0.2">
      <c r="B43" s="40"/>
    </row>
    <row r="44" spans="1:33" x14ac:dyDescent="0.2">
      <c r="B44" s="40"/>
    </row>
    <row r="45" spans="1:33" x14ac:dyDescent="0.2">
      <c r="B45" s="40"/>
    </row>
    <row r="46" spans="1:33" x14ac:dyDescent="0.2">
      <c r="B46" s="40"/>
    </row>
    <row r="47" spans="1:33" x14ac:dyDescent="0.2">
      <c r="B47" s="40"/>
    </row>
    <row r="48" spans="1:33" x14ac:dyDescent="0.2">
      <c r="B48" s="40"/>
    </row>
    <row r="49" spans="2:2" x14ac:dyDescent="0.2">
      <c r="B49" s="40"/>
    </row>
  </sheetData>
  <autoFilter ref="A6:BP29"/>
  <mergeCells count="23">
    <mergeCell ref="Z2:AT2"/>
    <mergeCell ref="V4:X4"/>
    <mergeCell ref="S4:U4"/>
    <mergeCell ref="P4:R4"/>
    <mergeCell ref="AR4:AT4"/>
    <mergeCell ref="AB4:AD4"/>
    <mergeCell ref="AE4:AG4"/>
    <mergeCell ref="AH4:AJ4"/>
    <mergeCell ref="AL4:AN4"/>
    <mergeCell ref="AO4:AQ4"/>
    <mergeCell ref="F4:H4"/>
    <mergeCell ref="D2:X2"/>
    <mergeCell ref="P32:R32"/>
    <mergeCell ref="S32:U32"/>
    <mergeCell ref="V32:X32"/>
    <mergeCell ref="L4:N4"/>
    <mergeCell ref="I4:K4"/>
    <mergeCell ref="BK4:BM4"/>
    <mergeCell ref="BN4:BP4"/>
    <mergeCell ref="AX4:AZ4"/>
    <mergeCell ref="BA4:BC4"/>
    <mergeCell ref="BD4:BF4"/>
    <mergeCell ref="BH4:BJ4"/>
  </mergeCells>
  <phoneticPr fontId="23" type="noConversion"/>
  <pageMargins left="0" right="0" top="1" bottom="1" header="0.5" footer="0.5"/>
  <pageSetup scale="49" orientation="landscape" r:id="rId1"/>
  <headerFooter alignWithMargins="0">
    <oddHeader>&amp;RTO8 Annual Update (Revised)
Attachment 2
WP‐Schedule 7-2011 Plant Study
Page &amp;P of &amp;N</oddHeader>
    <oddFooter>&amp;C&amp;A</oddFooter>
  </headerFooter>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O67"/>
  <sheetViews>
    <sheetView showGridLines="0" topLeftCell="B1" zoomScaleNormal="100" zoomScaleSheetLayoutView="50" workbookViewId="0">
      <selection activeCell="B5" sqref="B5:K5"/>
    </sheetView>
  </sheetViews>
  <sheetFormatPr defaultRowHeight="12.75" x14ac:dyDescent="0.2"/>
  <cols>
    <col min="1" max="1" width="0" style="26" hidden="1" customWidth="1"/>
    <col min="2" max="2" width="23.42578125" style="26" customWidth="1"/>
    <col min="3" max="3" width="18" style="26" customWidth="1"/>
    <col min="4" max="4" width="16.7109375" style="26" customWidth="1"/>
    <col min="5" max="5" width="19.140625" style="26" customWidth="1"/>
    <col min="6" max="6" width="1.7109375" style="26" bestFit="1" customWidth="1"/>
    <col min="7" max="7" width="17.28515625" style="26" customWidth="1"/>
    <col min="8" max="11" width="16.7109375" style="26" customWidth="1"/>
    <col min="12" max="12" width="9.140625" style="26" customWidth="1"/>
    <col min="13" max="13" width="11.28515625" style="26" customWidth="1"/>
    <col min="14" max="14" width="17.7109375" style="26" customWidth="1"/>
    <col min="15" max="15" width="11.28515625" style="26" bestFit="1" customWidth="1"/>
    <col min="16" max="16" width="9.140625" style="26"/>
    <col min="17" max="17" width="11.7109375" style="26" customWidth="1"/>
    <col min="18" max="16384" width="9.140625" style="26"/>
  </cols>
  <sheetData>
    <row r="1" spans="2:11" ht="18.75" x14ac:dyDescent="0.3">
      <c r="B1" s="773" t="s">
        <v>1483</v>
      </c>
      <c r="C1" s="773"/>
      <c r="D1" s="773"/>
      <c r="E1" s="773"/>
      <c r="F1" s="773"/>
      <c r="G1" s="773"/>
      <c r="H1" s="773"/>
      <c r="I1" s="773"/>
      <c r="J1" s="773"/>
      <c r="K1" s="773"/>
    </row>
    <row r="2" spans="2:11" x14ac:dyDescent="0.2">
      <c r="B2" s="774" t="s">
        <v>1484</v>
      </c>
      <c r="C2" s="774" t="s">
        <v>1485</v>
      </c>
      <c r="D2" s="774" t="s">
        <v>1485</v>
      </c>
      <c r="E2" s="774" t="s">
        <v>1485</v>
      </c>
      <c r="F2" s="774" t="s">
        <v>1485</v>
      </c>
      <c r="G2" s="774" t="s">
        <v>1485</v>
      </c>
      <c r="H2" s="774" t="s">
        <v>1485</v>
      </c>
      <c r="I2" s="774" t="s">
        <v>1485</v>
      </c>
      <c r="J2" s="774" t="s">
        <v>1485</v>
      </c>
      <c r="K2" s="774" t="s">
        <v>1485</v>
      </c>
    </row>
    <row r="3" spans="2:11" x14ac:dyDescent="0.2">
      <c r="B3" s="774" t="s">
        <v>1486</v>
      </c>
      <c r="C3" s="774"/>
      <c r="D3" s="774"/>
      <c r="E3" s="774"/>
      <c r="F3" s="774"/>
      <c r="G3" s="774"/>
      <c r="H3" s="774"/>
      <c r="I3" s="774"/>
      <c r="J3" s="774"/>
      <c r="K3" s="774"/>
    </row>
    <row r="4" spans="2:11" x14ac:dyDescent="0.2">
      <c r="B4" s="774" t="s">
        <v>1716</v>
      </c>
      <c r="C4" s="774"/>
      <c r="D4" s="774"/>
      <c r="E4" s="774"/>
      <c r="F4" s="774"/>
      <c r="G4" s="774"/>
      <c r="H4" s="774"/>
      <c r="I4" s="774"/>
      <c r="J4" s="774"/>
      <c r="K4" s="774"/>
    </row>
    <row r="5" spans="2:11" x14ac:dyDescent="0.2">
      <c r="B5" s="772" t="s">
        <v>1487</v>
      </c>
      <c r="C5" s="772"/>
      <c r="D5" s="772"/>
      <c r="E5" s="772"/>
      <c r="F5" s="772"/>
      <c r="G5" s="772"/>
      <c r="H5" s="772"/>
      <c r="I5" s="772"/>
      <c r="J5" s="772"/>
      <c r="K5" s="772"/>
    </row>
    <row r="6" spans="2:11" ht="13.5" thickBot="1" x14ac:dyDescent="0.25"/>
    <row r="7" spans="2:11" x14ac:dyDescent="0.2">
      <c r="B7" s="26" t="s">
        <v>1488</v>
      </c>
      <c r="G7" s="775" t="s">
        <v>1489</v>
      </c>
      <c r="H7" s="776"/>
      <c r="I7" s="776"/>
      <c r="J7" s="776"/>
      <c r="K7" s="777"/>
    </row>
    <row r="8" spans="2:11" ht="13.5" thickBot="1" x14ac:dyDescent="0.25">
      <c r="G8" s="778"/>
      <c r="H8" s="779"/>
      <c r="I8" s="779"/>
      <c r="J8" s="779"/>
      <c r="K8" s="780"/>
    </row>
    <row r="9" spans="2:11" s="83" customFormat="1" ht="30.75" customHeight="1" thickBot="1" x14ac:dyDescent="0.25">
      <c r="B9" s="110" t="s">
        <v>1721</v>
      </c>
      <c r="C9" s="111" t="s">
        <v>1470</v>
      </c>
      <c r="D9" s="112" t="s">
        <v>985</v>
      </c>
      <c r="E9" s="112" t="s">
        <v>1015</v>
      </c>
      <c r="F9" s="113"/>
      <c r="G9" s="165" t="s">
        <v>1471</v>
      </c>
      <c r="H9" s="364" t="s">
        <v>1472</v>
      </c>
      <c r="I9" s="364" t="s">
        <v>1473</v>
      </c>
      <c r="J9" s="364" t="s">
        <v>1474</v>
      </c>
      <c r="K9" s="365" t="s">
        <v>1475</v>
      </c>
    </row>
    <row r="10" spans="2:11" s="81" customFormat="1" x14ac:dyDescent="0.25">
      <c r="F10" s="82"/>
    </row>
    <row r="11" spans="2:11" x14ac:dyDescent="0.2">
      <c r="B11" s="83" t="s">
        <v>1465</v>
      </c>
      <c r="D11" s="84"/>
      <c r="E11" s="85"/>
      <c r="F11" s="85"/>
    </row>
    <row r="12" spans="2:11" x14ac:dyDescent="0.2">
      <c r="B12" s="22" t="s">
        <v>1490</v>
      </c>
      <c r="C12" s="23">
        <f t="shared" ref="C12:C18" si="0">SUM(D12:E12)</f>
        <v>55966906.649999999</v>
      </c>
      <c r="D12" s="23">
        <f>'ISO w_System Splits'!G14</f>
        <v>0</v>
      </c>
      <c r="E12" s="23">
        <f>SUM('ISO w_System Splits'!J14:O14)</f>
        <v>55966906.649999999</v>
      </c>
      <c r="F12" s="24"/>
      <c r="G12" s="23">
        <f>D12</f>
        <v>0</v>
      </c>
      <c r="H12" s="23">
        <v>0</v>
      </c>
      <c r="I12" s="23">
        <f>E12</f>
        <v>55966906.649999999</v>
      </c>
      <c r="J12" s="23">
        <v>0</v>
      </c>
      <c r="K12" s="23">
        <v>0</v>
      </c>
    </row>
    <row r="13" spans="2:11" x14ac:dyDescent="0.2">
      <c r="B13" s="22" t="s">
        <v>1491</v>
      </c>
      <c r="C13" s="23">
        <f t="shared" si="0"/>
        <v>429335254.35946798</v>
      </c>
      <c r="D13" s="23">
        <f>'ISO w_System Splits'!G75</f>
        <v>48565350.780000001</v>
      </c>
      <c r="E13" s="23">
        <f>SUM('ISO w_System Splits'!J75:O75)</f>
        <v>380769903.57946795</v>
      </c>
      <c r="F13" s="24"/>
      <c r="G13" s="23">
        <f>D13</f>
        <v>48565350.780000001</v>
      </c>
      <c r="H13" s="23">
        <v>0</v>
      </c>
      <c r="I13" s="23">
        <f>E13</f>
        <v>380769903.57946795</v>
      </c>
      <c r="J13" s="23">
        <v>0</v>
      </c>
      <c r="K13" s="23">
        <v>0</v>
      </c>
    </row>
    <row r="14" spans="2:11" x14ac:dyDescent="0.2">
      <c r="B14" s="22" t="s">
        <v>1492</v>
      </c>
      <c r="C14" s="23">
        <f t="shared" si="0"/>
        <v>733852393.92798388</v>
      </c>
      <c r="D14" s="23">
        <f>'ISO w_System Splits'!G413</f>
        <v>65722570.155384213</v>
      </c>
      <c r="E14" s="23">
        <f>SUM('ISO w_System Splits'!J413:O413)</f>
        <v>668129823.7725997</v>
      </c>
      <c r="F14" s="24"/>
      <c r="G14" s="23">
        <f>D14</f>
        <v>65722570.155384213</v>
      </c>
      <c r="H14" s="23">
        <v>0</v>
      </c>
      <c r="I14" s="23">
        <f>E14</f>
        <v>668129823.7725997</v>
      </c>
      <c r="J14" s="23">
        <v>0</v>
      </c>
      <c r="K14" s="23">
        <v>0</v>
      </c>
    </row>
    <row r="15" spans="2:11" x14ac:dyDescent="0.2">
      <c r="B15" s="22" t="s">
        <v>1493</v>
      </c>
      <c r="C15" s="23">
        <f t="shared" si="0"/>
        <v>2369978.44</v>
      </c>
      <c r="D15" s="23">
        <f>'ISO w_System Splits'!G419</f>
        <v>33310</v>
      </c>
      <c r="E15" s="23">
        <f>SUM('ISO w_System Splits'!J419:O419)</f>
        <v>2336668.44</v>
      </c>
      <c r="F15" s="24"/>
      <c r="G15" s="23">
        <v>0</v>
      </c>
      <c r="H15" s="23">
        <f>D15</f>
        <v>33310</v>
      </c>
      <c r="I15" s="23">
        <v>0</v>
      </c>
      <c r="J15" s="23">
        <f>E15</f>
        <v>2336668.44</v>
      </c>
      <c r="K15" s="23">
        <v>0</v>
      </c>
    </row>
    <row r="16" spans="2:11" x14ac:dyDescent="0.2">
      <c r="B16" s="22" t="s">
        <v>1494</v>
      </c>
      <c r="C16" s="23">
        <f t="shared" si="0"/>
        <v>50799281.53040605</v>
      </c>
      <c r="D16" s="23">
        <f>'ISO w_System Splits'!G450</f>
        <v>4527958.9134948859</v>
      </c>
      <c r="E16" s="23">
        <f>SUM('ISO w_System Splits'!J450:O450)</f>
        <v>46271322.616911165</v>
      </c>
      <c r="F16" s="24"/>
      <c r="G16" s="23">
        <v>0</v>
      </c>
      <c r="H16" s="23">
        <f>D16</f>
        <v>4527958.9134948859</v>
      </c>
      <c r="I16" s="23">
        <v>0</v>
      </c>
      <c r="J16" s="23">
        <f>E16</f>
        <v>46271322.616911165</v>
      </c>
      <c r="K16" s="23">
        <v>0</v>
      </c>
    </row>
    <row r="17" spans="1:12" x14ac:dyDescent="0.2">
      <c r="B17" s="347" t="s">
        <v>2180</v>
      </c>
      <c r="C17" s="23">
        <f t="shared" si="0"/>
        <v>67109651.246465132</v>
      </c>
      <c r="D17" s="23">
        <f>'ISO w_System Splits'!G458+IF('Plant Total by Account'!$H$1=1,0,SUM('ISO w_System Splits'!G617:G617))</f>
        <v>3473545.6087996559</v>
      </c>
      <c r="E17" s="23">
        <f>SUM('ISO w_System Splits'!J458:O458)+IF('Plant Total by Account'!$H$1=1,0,SUM('ISO w_System Splits'!J617:O617))</f>
        <v>63636105.637665473</v>
      </c>
      <c r="F17" s="24"/>
      <c r="G17" s="23">
        <v>0</v>
      </c>
      <c r="H17" s="23">
        <f>D17</f>
        <v>3473545.6087996559</v>
      </c>
      <c r="I17" s="23">
        <v>0</v>
      </c>
      <c r="J17" s="23">
        <f>E17</f>
        <v>63636105.637665473</v>
      </c>
      <c r="K17" s="23">
        <v>0</v>
      </c>
    </row>
    <row r="18" spans="1:12" x14ac:dyDescent="0.2">
      <c r="B18" s="347" t="s">
        <v>2181</v>
      </c>
      <c r="C18" s="161">
        <f t="shared" si="0"/>
        <v>1787976.4717341354</v>
      </c>
      <c r="D18" s="161">
        <f>'ISO w_System Splits'!G466</f>
        <v>94330.825096154091</v>
      </c>
      <c r="E18" s="161">
        <f>SUM('ISO w_System Splits'!J466:O466)</f>
        <v>1693645.6466379813</v>
      </c>
      <c r="F18" s="161"/>
      <c r="G18" s="161">
        <v>0</v>
      </c>
      <c r="H18" s="161">
        <f>D18</f>
        <v>94330.825096154091</v>
      </c>
      <c r="I18" s="161">
        <v>0</v>
      </c>
      <c r="J18" s="161">
        <f>E18</f>
        <v>1693645.6466379813</v>
      </c>
      <c r="K18" s="161">
        <v>0</v>
      </c>
    </row>
    <row r="19" spans="1:12" s="83" customFormat="1" x14ac:dyDescent="0.2">
      <c r="B19" s="86" t="s">
        <v>1495</v>
      </c>
      <c r="C19" s="162">
        <f>SUM(C12:C18)</f>
        <v>1341221442.6260571</v>
      </c>
      <c r="D19" s="162">
        <f>SUM(D12:D18)</f>
        <v>122417066.28277491</v>
      </c>
      <c r="E19" s="162">
        <f>SUM(E12:E18)</f>
        <v>1218804376.3432822</v>
      </c>
      <c r="F19" s="163" t="s">
        <v>1496</v>
      </c>
      <c r="G19" s="162">
        <f>SUM(G12:G18)</f>
        <v>114287920.93538421</v>
      </c>
      <c r="H19" s="162">
        <f>SUM(H12:H18)</f>
        <v>8129145.3473906955</v>
      </c>
      <c r="I19" s="162">
        <f>SUM(I12:I18)</f>
        <v>1104866634.0020676</v>
      </c>
      <c r="J19" s="162">
        <f>SUM(J12:J18)</f>
        <v>113937742.34121461</v>
      </c>
      <c r="K19" s="162">
        <f>SUM(K12:K18)</f>
        <v>0</v>
      </c>
    </row>
    <row r="20" spans="1:12" x14ac:dyDescent="0.2">
      <c r="C20" s="771"/>
      <c r="D20" s="771"/>
      <c r="E20" s="23"/>
      <c r="F20" s="24"/>
      <c r="G20" s="23"/>
      <c r="H20" s="23"/>
      <c r="I20" s="366"/>
      <c r="J20" s="23"/>
      <c r="K20" s="23"/>
    </row>
    <row r="21" spans="1:12" x14ac:dyDescent="0.2">
      <c r="B21" s="83" t="s">
        <v>1466</v>
      </c>
      <c r="C21" s="23"/>
      <c r="D21" s="166"/>
      <c r="E21" s="23"/>
      <c r="F21" s="24"/>
      <c r="G21" s="23"/>
      <c r="H21" s="23"/>
      <c r="I21" s="366"/>
      <c r="J21" s="23"/>
      <c r="K21" s="23"/>
    </row>
    <row r="22" spans="1:12" ht="25.5" x14ac:dyDescent="0.2">
      <c r="A22" s="26" t="s">
        <v>1469</v>
      </c>
      <c r="B22" s="116" t="s">
        <v>1714</v>
      </c>
      <c r="C22" s="23">
        <f>SUM(D22:E22)</f>
        <v>1643586426.1024253</v>
      </c>
      <c r="D22" s="23">
        <f>SUMIF('TS by Location'!$O$10:$O$482,"High",'TS by Location'!$H$10:$H$482)+SUMIF('DS by Location'!$P$9:$P$861,"High",'DS by Location'!$H$9:$H$861)</f>
        <v>33468163.261229705</v>
      </c>
      <c r="E22" s="23">
        <f>SUMIF('TS by Location'!$O$10:$O$482,"High",'TS by Location'!$I$10:$I$482)+SUMIF('TS by Location'!$O$10:$O$482,"High",'TS by Location'!$J$10:$J$482)+SUM('ISO w_System Splits'!H14:I14)+SUM('ISO w_System Splits'!H75:I75)+SUM('ISO w_System Splits'!H413:I413)+SUMIF('DS by Location'!$P$9:$P$861,"High",'DS by Location'!$I$9:$I$861)+SUMIF('DS by Location'!$P$9:$P$861,"High",'DS by Location'!$J$9:$J$861)</f>
        <v>1610118262.8411956</v>
      </c>
      <c r="F22" s="24"/>
      <c r="G22" s="23">
        <f>D22</f>
        <v>33468163.261229705</v>
      </c>
      <c r="H22" s="23">
        <v>0</v>
      </c>
      <c r="I22" s="23">
        <f>E22</f>
        <v>1610118262.8411956</v>
      </c>
      <c r="J22" s="23">
        <v>0</v>
      </c>
      <c r="K22" s="23">
        <v>0</v>
      </c>
    </row>
    <row r="23" spans="1:12" x14ac:dyDescent="0.2">
      <c r="C23" s="23"/>
      <c r="D23" s="23"/>
      <c r="E23" s="23"/>
      <c r="F23" s="24"/>
      <c r="G23" s="23"/>
      <c r="H23" s="23"/>
      <c r="I23" s="367"/>
      <c r="J23" s="23"/>
      <c r="K23" s="23"/>
    </row>
    <row r="24" spans="1:12" ht="15" customHeight="1" x14ac:dyDescent="0.2">
      <c r="A24" s="26" t="s">
        <v>1011</v>
      </c>
      <c r="B24" s="507" t="s">
        <v>118</v>
      </c>
      <c r="C24" s="23"/>
      <c r="D24" s="23"/>
      <c r="E24" s="23"/>
      <c r="F24" s="24"/>
      <c r="G24" s="23"/>
      <c r="H24" s="23"/>
      <c r="I24" s="23"/>
      <c r="J24" s="23"/>
      <c r="K24" s="23"/>
    </row>
    <row r="25" spans="1:12" ht="15" customHeight="1" x14ac:dyDescent="0.2">
      <c r="B25" s="25" t="s">
        <v>1006</v>
      </c>
      <c r="C25" s="23">
        <f t="shared" ref="C25:C30" si="1">SUM(G25:K25)</f>
        <v>66862753.129999995</v>
      </c>
      <c r="D25" s="23">
        <f t="shared" ref="D25:D30" si="2">SUM(G25:H25)</f>
        <v>13182.65</v>
      </c>
      <c r="E25" s="23">
        <f t="shared" ref="E25:E30" si="3">SUM(I25:K25)</f>
        <v>66849570.479999997</v>
      </c>
      <c r="F25" s="24"/>
      <c r="G25" s="359">
        <f>SUMIF('High_Low Voltage Mix Summary'!$A$10:$A$17,$B25,'High_Low Voltage Mix Summary'!$D$10:$D$17)</f>
        <v>13182.65</v>
      </c>
      <c r="H25" s="23">
        <f>SUMIF('High_Low Voltage Mix Summary'!$A$10:$A$17,$B25,'High_Low Voltage Mix Summary'!$E$10:$E$17)</f>
        <v>0</v>
      </c>
      <c r="I25" s="23">
        <f>SUMIF('High_Low Voltage Mix Summary'!$A$10:$A$17,$B25,'High_Low Voltage Mix Summary'!$F$10:$F$17)-'DS by Location'!$G$77</f>
        <v>65952090.75</v>
      </c>
      <c r="J25" s="23">
        <f>SUMIF('High_Low Voltage Mix Summary'!$A$10:$A$17,$B25,'High_Low Voltage Mix Summary'!$G$10:$G$17)</f>
        <v>0</v>
      </c>
      <c r="K25" s="23">
        <f>SUMIF('High_Low Voltage Mix Summary'!$A$10:$A$17,$B25,'High_Low Voltage Mix Summary'!$H$10:$H$17)</f>
        <v>897479.72999999986</v>
      </c>
      <c r="L25" s="24"/>
    </row>
    <row r="26" spans="1:12" ht="15" customHeight="1" x14ac:dyDescent="0.2">
      <c r="B26" s="25" t="s">
        <v>1008</v>
      </c>
      <c r="C26" s="23">
        <f t="shared" si="1"/>
        <v>70582432.545958996</v>
      </c>
      <c r="D26" s="23">
        <f t="shared" si="2"/>
        <v>21969.428036242389</v>
      </c>
      <c r="E26" s="23">
        <f t="shared" si="3"/>
        <v>70560463.117922753</v>
      </c>
      <c r="F26" s="23"/>
      <c r="G26" s="23">
        <f>SUMIF('High_Low Voltage Mix Summary'!$A$10:$A$17,$B26,'High_Low Voltage Mix Summary'!$D$10:$D$17)</f>
        <v>16725.340269883793</v>
      </c>
      <c r="H26" s="23">
        <f>SUMIF('High_Low Voltage Mix Summary'!$A$10:$A$17,$B26,'High_Low Voltage Mix Summary'!$E$10:$E$17)</f>
        <v>5244.0877663585943</v>
      </c>
      <c r="I26" s="23">
        <f>SUMIF('High_Low Voltage Mix Summary'!$A$10:$A$17,$B26,'High_Low Voltage Mix Summary'!$F$10:$F$17)</f>
        <v>46230540.197822832</v>
      </c>
      <c r="J26" s="23">
        <f>SUMIF('High_Low Voltage Mix Summary'!$A$10:$A$17,$B26,'High_Low Voltage Mix Summary'!$G$10:$G$17)</f>
        <v>14495191.510099923</v>
      </c>
      <c r="K26" s="23">
        <f>SUMIF('High_Low Voltage Mix Summary'!$A$10:$A$17,$B26,'High_Low Voltage Mix Summary'!$H$10:$H$17)</f>
        <v>9834731.4100000001</v>
      </c>
    </row>
    <row r="27" spans="1:12" x14ac:dyDescent="0.2">
      <c r="B27" s="25" t="s">
        <v>1463</v>
      </c>
      <c r="C27" s="23">
        <f t="shared" si="1"/>
        <v>17694017.369532373</v>
      </c>
      <c r="D27" s="23">
        <f t="shared" si="2"/>
        <v>110066.54350774965</v>
      </c>
      <c r="E27" s="23">
        <f t="shared" si="3"/>
        <v>17583950.826024625</v>
      </c>
      <c r="F27" s="23"/>
      <c r="G27" s="23">
        <f>SUMIF('High_Low Voltage Mix Summary'!$A$10:$A$17,$B27,'High_Low Voltage Mix Summary'!$D$10:$D$17)</f>
        <v>93457.415128374327</v>
      </c>
      <c r="H27" s="23">
        <f>SUMIF('High_Low Voltage Mix Summary'!$A$10:$A$17,$B27,'High_Low Voltage Mix Summary'!$E$10:$E$17)</f>
        <v>16609.128379375332</v>
      </c>
      <c r="I27" s="23">
        <f>SUMIF('High_Low Voltage Mix Summary'!$A$10:$A$17,$B27,'High_Low Voltage Mix Summary'!$F$10:$F$17)-'Mix Substation Location Summary'!S94</f>
        <v>13532013.086744998</v>
      </c>
      <c r="J27" s="23">
        <f>SUMIF('High_Low Voltage Mix Summary'!$A$10:$A$17,$B27,'High_Low Voltage Mix Summary'!$G$10:$G$17)</f>
        <v>2404896.7110084258</v>
      </c>
      <c r="K27" s="23">
        <f>SUMIF('High_Low Voltage Mix Summary'!$A$10:$A$17,$B27,'High_Low Voltage Mix Summary'!$H$10:$H$17)-'Mix Substation Location Summary'!W94</f>
        <v>1647041.0282712015</v>
      </c>
    </row>
    <row r="28" spans="1:12" x14ac:dyDescent="0.2">
      <c r="B28" s="25" t="s">
        <v>1007</v>
      </c>
      <c r="C28" s="23">
        <f t="shared" si="1"/>
        <v>1619897.7860760726</v>
      </c>
      <c r="D28" s="23">
        <f t="shared" si="2"/>
        <v>0</v>
      </c>
      <c r="E28" s="23">
        <f t="shared" si="3"/>
        <v>1619897.7860760726</v>
      </c>
      <c r="F28" s="23"/>
      <c r="G28" s="23">
        <f>SUMIF('High_Low Voltage Mix Summary'!$A$10:$A$17,$B28,'High_Low Voltage Mix Summary'!$D$10:$D$17)</f>
        <v>0</v>
      </c>
      <c r="H28" s="23">
        <f>SUMIF('High_Low Voltage Mix Summary'!$A$10:$A$17,$B28,'High_Low Voltage Mix Summary'!$E$10:$E$17)</f>
        <v>0</v>
      </c>
      <c r="I28" s="23">
        <f>SUMIF('High_Low Voltage Mix Summary'!$A$10:$A$17,$B28,'High_Low Voltage Mix Summary'!$F$10:$F$17)</f>
        <v>1480879.5530741161</v>
      </c>
      <c r="J28" s="23">
        <f>SUMIF('High_Low Voltage Mix Summary'!$A$10:$A$17,$B28,'High_Low Voltage Mix Summary'!$G$10:$G$17)</f>
        <v>136987.67300195651</v>
      </c>
      <c r="K28" s="23">
        <f>SUMIF('High_Low Voltage Mix Summary'!$A$10:$A$17,$B28,'High_Low Voltage Mix Summary'!$H$10:$H$17)</f>
        <v>2030.56</v>
      </c>
    </row>
    <row r="29" spans="1:12" x14ac:dyDescent="0.2">
      <c r="B29" s="25" t="s">
        <v>129</v>
      </c>
      <c r="C29" s="23">
        <f t="shared" si="1"/>
        <v>16028919.700100226</v>
      </c>
      <c r="D29" s="23">
        <f t="shared" si="2"/>
        <v>28584.969909692139</v>
      </c>
      <c r="E29" s="23">
        <f t="shared" si="3"/>
        <v>16000334.730190534</v>
      </c>
      <c r="F29" s="23"/>
      <c r="G29" s="23">
        <f>SUMIF('High_Low Voltage Mix Summary'!$A$10:$A$17,$B29,'High_Low Voltage Mix Summary'!$D$10:$D$17)</f>
        <v>16631.616571469622</v>
      </c>
      <c r="H29" s="23">
        <f>SUMIF('High_Low Voltage Mix Summary'!$A$10:$A$17,$B29,'High_Low Voltage Mix Summary'!$E$10:$E$17)</f>
        <v>11953.35333822252</v>
      </c>
      <c r="I29" s="23">
        <f>SUMIF('High_Low Voltage Mix Summary'!$A$10:$A$17,$B29,'High_Low Voltage Mix Summary'!$F$10:$F$17)-'Mix Substation Location Summary'!W54</f>
        <v>8210171.8517029956</v>
      </c>
      <c r="J29" s="23">
        <f>SUMIF('High_Low Voltage Mix Summary'!$A$10:$A$17,$B29,'High_Low Voltage Mix Summary'!$G$10:$G$17)</f>
        <v>5912866.2025478557</v>
      </c>
      <c r="K29" s="23">
        <f>SUMIF('High_Low Voltage Mix Summary'!$A$10:$A$17,$B29,'High_Low Voltage Mix Summary'!$H$10:$H$17)</f>
        <v>1877296.6759396826</v>
      </c>
    </row>
    <row r="30" spans="1:12" x14ac:dyDescent="0.2">
      <c r="B30" s="25" t="s">
        <v>1009</v>
      </c>
      <c r="C30" s="161">
        <f t="shared" si="1"/>
        <v>54518229.662301973</v>
      </c>
      <c r="D30" s="161">
        <f t="shared" si="2"/>
        <v>18831.568805125495</v>
      </c>
      <c r="E30" s="161">
        <f t="shared" si="3"/>
        <v>54499398.093496844</v>
      </c>
      <c r="F30" s="161"/>
      <c r="G30" s="161">
        <f>SUMIF('High_Low Voltage Mix Summary'!$A$10:$A$17,$B30,'High_Low Voltage Mix Summary'!$D$10:$D$17)</f>
        <v>3036.4624176767879</v>
      </c>
      <c r="H30" s="161">
        <f>SUMIF('High_Low Voltage Mix Summary'!$A$10:$A$17,$B30,'High_Low Voltage Mix Summary'!$E$10:$E$17)</f>
        <v>15795.106387448708</v>
      </c>
      <c r="I30" s="161">
        <f>SUMIF('High_Low Voltage Mix Summary'!$A$10:$A$17,$B30,'High_Low Voltage Mix Summary'!$F$10:$F$17)</f>
        <v>8565937.2100707106</v>
      </c>
      <c r="J30" s="161">
        <f>SUMIF('High_Low Voltage Mix Summary'!$A$10:$A$17,$B30,'High_Low Voltage Mix Summary'!$G$10:$G$17)</f>
        <v>44558394.253004141</v>
      </c>
      <c r="K30" s="161">
        <f>SUMIF('High_Low Voltage Mix Summary'!$A$10:$A$17,$B30,'High_Low Voltage Mix Summary'!$H$10:$H$17)</f>
        <v>1375066.6304219943</v>
      </c>
    </row>
    <row r="31" spans="1:12" x14ac:dyDescent="0.2">
      <c r="B31" s="86" t="s">
        <v>119</v>
      </c>
      <c r="C31" s="162">
        <f>SUM(C25:C30)</f>
        <v>227306250.19396961</v>
      </c>
      <c r="D31" s="162">
        <f>SUM(D25:D30)</f>
        <v>192635.16025880969</v>
      </c>
      <c r="E31" s="162">
        <f>SUM(E25:E30)</f>
        <v>227113615.03371084</v>
      </c>
      <c r="F31" s="163"/>
      <c r="G31" s="162">
        <f>SUM(G25:G30)</f>
        <v>143033.48438740452</v>
      </c>
      <c r="H31" s="162">
        <f>SUM(H25:H30)</f>
        <v>49601.675871405154</v>
      </c>
      <c r="I31" s="162">
        <f>SUM(I25:I30)</f>
        <v>143971632.64941564</v>
      </c>
      <c r="J31" s="162">
        <f>SUM(J25:J30)</f>
        <v>67508336.349662304</v>
      </c>
      <c r="K31" s="162">
        <f>SUM(K25:K30)</f>
        <v>15633646.03463288</v>
      </c>
    </row>
    <row r="32" spans="1:12" x14ac:dyDescent="0.2">
      <c r="B32" s="22"/>
      <c r="C32" s="23"/>
      <c r="D32" s="23"/>
      <c r="E32" s="23"/>
      <c r="F32" s="24"/>
      <c r="G32" s="23"/>
      <c r="H32" s="23"/>
      <c r="I32" s="23"/>
      <c r="J32" s="23"/>
      <c r="K32" s="23"/>
    </row>
    <row r="33" spans="1:15" ht="25.5" x14ac:dyDescent="0.2">
      <c r="A33" s="26" t="s">
        <v>1013</v>
      </c>
      <c r="B33" s="116" t="s">
        <v>1715</v>
      </c>
      <c r="C33" s="448">
        <f>SUM(D33:E33)</f>
        <v>82278621.710627124</v>
      </c>
      <c r="D33" s="448">
        <f>SUMIF('TS by Location'!$O$36:$O$482,"Low",'TS by Location'!$H$36:$H$482)+SUMIF('DS by Location'!$P$9:$P$861,"Low",'DS by Location'!$H$9:$H$861)</f>
        <v>608006.30412046064</v>
      </c>
      <c r="E33" s="448">
        <f>SUMIF('TS by Location'!$O$10:$O$482,"Low",'TS by Location'!$I$10:$I$482)+SUMIF('TS by Location'!$O$10:$O$482,"Low",'TS by Location'!$J$10:$J$482)+SUMIF('DS by Location'!$P$9:$P$861,"Low",'DS by Location'!$I$9:$I$861)+SUMIF('DS by Location'!$P$9:$P$861,"Low",'DS by Location'!$J$9:$J$861)+SUM('ISO w_System Splits'!H419:I419)+SUM('ISO w_System Splits'!H450:I450)+SUM('ISO w_System Splits'!H458:I458)+SUM('ISO w_System Splits'!H466:I466)+IF('Plant Total by Account'!$H$1=2,SUM('ISO w_System Splits'!H617:I617),0)</f>
        <v>81670615.406506658</v>
      </c>
      <c r="F33" s="448"/>
      <c r="G33" s="448">
        <v>0</v>
      </c>
      <c r="H33" s="448">
        <f>D33</f>
        <v>608006.30412046064</v>
      </c>
      <c r="I33" s="448">
        <v>0</v>
      </c>
      <c r="J33" s="448">
        <f>E33</f>
        <v>81670615.406506658</v>
      </c>
      <c r="K33" s="448">
        <v>0</v>
      </c>
      <c r="M33" s="463"/>
      <c r="N33" s="54"/>
    </row>
    <row r="34" spans="1:15" x14ac:dyDescent="0.2">
      <c r="B34" s="116"/>
      <c r="C34" s="448"/>
      <c r="D34" s="448"/>
      <c r="E34" s="448"/>
      <c r="F34" s="448"/>
      <c r="G34" s="448"/>
      <c r="H34" s="448"/>
      <c r="I34" s="448"/>
      <c r="J34" s="448"/>
      <c r="K34" s="448"/>
      <c r="M34" s="463"/>
      <c r="N34" s="54"/>
    </row>
    <row r="35" spans="1:15" s="83" customFormat="1" x14ac:dyDescent="0.2">
      <c r="B35" s="86" t="s">
        <v>1497</v>
      </c>
      <c r="C35" s="162">
        <f>C22+C31+SUM(C33:C33)</f>
        <v>1953171298.0070219</v>
      </c>
      <c r="D35" s="162">
        <f>D22+D31+SUM(D33:D33)</f>
        <v>34268804.725608975</v>
      </c>
      <c r="E35" s="162">
        <f>E22+E31+SUM(E33:E33)</f>
        <v>1918902493.2814131</v>
      </c>
      <c r="F35" s="370" t="s">
        <v>1496</v>
      </c>
      <c r="G35" s="162">
        <f>G22+G31+SUM(G33:G33)</f>
        <v>33611196.745617107</v>
      </c>
      <c r="H35" s="162">
        <f>H22+H31+SUM(H33:H33)</f>
        <v>657607.97999186581</v>
      </c>
      <c r="I35" s="162">
        <f>I22+I31+SUM(I33:I33)</f>
        <v>1754089895.4906113</v>
      </c>
      <c r="J35" s="162">
        <f>J22+J31+SUM(J33:J33)</f>
        <v>149178951.75616896</v>
      </c>
      <c r="K35" s="162">
        <f>K22+K31+SUM(K33:K33)</f>
        <v>15633646.03463288</v>
      </c>
      <c r="N35" s="462"/>
    </row>
    <row r="36" spans="1:15" x14ac:dyDescent="0.2">
      <c r="C36" s="161"/>
      <c r="D36" s="161"/>
      <c r="E36" s="161"/>
      <c r="F36" s="371"/>
      <c r="G36" s="161"/>
      <c r="H36" s="161"/>
      <c r="I36" s="161"/>
      <c r="J36" s="161"/>
      <c r="K36" s="161"/>
      <c r="L36" s="83"/>
      <c r="M36" s="83"/>
      <c r="N36" s="83"/>
      <c r="O36" s="83"/>
    </row>
    <row r="37" spans="1:15" s="83" customFormat="1" ht="13.5" thickBot="1" x14ac:dyDescent="0.25">
      <c r="B37" s="86" t="s">
        <v>1498</v>
      </c>
      <c r="C37" s="164">
        <f>ROUND(C19+C35,0)</f>
        <v>3294392741</v>
      </c>
      <c r="D37" s="164">
        <f>ROUND((D19+D35),0)</f>
        <v>156685871</v>
      </c>
      <c r="E37" s="164">
        <f>E19+E35</f>
        <v>3137706869.6246953</v>
      </c>
      <c r="F37" s="163"/>
      <c r="G37" s="164">
        <f>G19+G35</f>
        <v>147899117.68100131</v>
      </c>
      <c r="H37" s="164">
        <f>H19+H35</f>
        <v>8786753.3273825608</v>
      </c>
      <c r="I37" s="372">
        <f>I19+I35</f>
        <v>2858956529.4926786</v>
      </c>
      <c r="J37" s="372">
        <f>J19+J35</f>
        <v>263116694.09738356</v>
      </c>
      <c r="K37" s="164">
        <f>K19+K35</f>
        <v>15633646.03463288</v>
      </c>
      <c r="L37" s="26"/>
      <c r="M37" s="26"/>
      <c r="N37" s="26"/>
      <c r="O37" s="26"/>
    </row>
    <row r="38" spans="1:15" ht="13.5" thickTop="1" x14ac:dyDescent="0.2">
      <c r="C38" s="373"/>
      <c r="D38" s="374"/>
      <c r="E38" s="369"/>
      <c r="G38" s="369"/>
      <c r="H38" s="369"/>
      <c r="I38" s="369"/>
      <c r="J38" s="369"/>
      <c r="K38" s="369"/>
      <c r="L38" s="83"/>
      <c r="M38" s="83"/>
      <c r="N38" s="83"/>
      <c r="O38" s="83"/>
    </row>
    <row r="39" spans="1:15" x14ac:dyDescent="0.2">
      <c r="B39" s="373"/>
      <c r="C39" s="369"/>
      <c r="D39" s="375"/>
      <c r="G39" s="42"/>
    </row>
    <row r="40" spans="1:15" x14ac:dyDescent="0.2">
      <c r="B40" s="26" t="s">
        <v>1032</v>
      </c>
      <c r="K40" s="376"/>
    </row>
    <row r="41" spans="1:15" x14ac:dyDescent="0.2">
      <c r="B41" s="26" t="s">
        <v>1499</v>
      </c>
    </row>
    <row r="42" spans="1:15" ht="4.5" customHeight="1" thickBot="1" x14ac:dyDescent="0.25">
      <c r="B42" s="26" t="s">
        <v>1496</v>
      </c>
    </row>
    <row r="43" spans="1:15" ht="30.75" customHeight="1" x14ac:dyDescent="0.2">
      <c r="B43" s="377" t="s">
        <v>1500</v>
      </c>
      <c r="C43" s="378" t="s">
        <v>1501</v>
      </c>
      <c r="D43" s="378" t="s">
        <v>1502</v>
      </c>
      <c r="E43" s="111" t="s">
        <v>1428</v>
      </c>
    </row>
    <row r="44" spans="1:15" x14ac:dyDescent="0.2">
      <c r="B44" s="22" t="s">
        <v>985</v>
      </c>
      <c r="C44" s="23">
        <f>G37</f>
        <v>147899117.68100131</v>
      </c>
      <c r="D44" s="23">
        <f>H37</f>
        <v>8786753.3273825608</v>
      </c>
      <c r="E44" s="24">
        <f>SUM(C44:D44)</f>
        <v>156685871.00838387</v>
      </c>
    </row>
    <row r="45" spans="1:15" x14ac:dyDescent="0.2">
      <c r="B45" s="22" t="s">
        <v>1015</v>
      </c>
      <c r="C45" s="161">
        <f>I37</f>
        <v>2858956529.4926786</v>
      </c>
      <c r="D45" s="161">
        <f>J37</f>
        <v>263116694.09738356</v>
      </c>
      <c r="E45" s="379">
        <f>SUM(C45:D45)</f>
        <v>3122073223.5900621</v>
      </c>
    </row>
    <row r="46" spans="1:15" x14ac:dyDescent="0.2">
      <c r="B46" s="380" t="s">
        <v>1503</v>
      </c>
      <c r="C46" s="23">
        <f>SUM(C44:C45)</f>
        <v>3006855647.1736798</v>
      </c>
      <c r="D46" s="23">
        <f>SUM(D44:D45)</f>
        <v>271903447.42476612</v>
      </c>
      <c r="E46" s="23">
        <f>SUM(C46:D46)</f>
        <v>3278759094.5984459</v>
      </c>
    </row>
    <row r="47" spans="1:15" s="66" customFormat="1" ht="19.5" customHeight="1" x14ac:dyDescent="0.2">
      <c r="B47" s="66" t="s">
        <v>1504</v>
      </c>
      <c r="C47" s="67">
        <f>C46/E46</f>
        <v>0.91707123348198705</v>
      </c>
      <c r="D47" s="67">
        <f>D46/E46</f>
        <v>8.2928766518012967E-2</v>
      </c>
      <c r="E47" s="67">
        <f>SUM(C47:D47)</f>
        <v>1</v>
      </c>
      <c r="H47" s="26"/>
      <c r="I47" s="26"/>
      <c r="J47" s="26"/>
      <c r="L47" s="26"/>
      <c r="M47" s="26"/>
      <c r="N47" s="26"/>
      <c r="O47" s="26"/>
    </row>
    <row r="48" spans="1:15" x14ac:dyDescent="0.2">
      <c r="B48" s="22" t="s">
        <v>3350</v>
      </c>
      <c r="C48" s="23">
        <f>$K$31*C47</f>
        <v>14337167.052801551</v>
      </c>
      <c r="D48" s="23">
        <f>$K$31*D47</f>
        <v>1296478.9818313294</v>
      </c>
      <c r="E48" s="24">
        <f>SUM(C48:D48)</f>
        <v>15633646.03463288</v>
      </c>
    </row>
    <row r="49" spans="2:15" ht="19.5" thickBot="1" x14ac:dyDescent="0.35">
      <c r="B49" s="68" t="s">
        <v>1464</v>
      </c>
      <c r="C49" s="164">
        <f>E49*C47</f>
        <v>3021192814.5629745</v>
      </c>
      <c r="D49" s="164">
        <f>E49-C49</f>
        <v>273199926.43702555</v>
      </c>
      <c r="E49" s="164">
        <f>C37</f>
        <v>3294392741</v>
      </c>
      <c r="G49" s="80"/>
      <c r="K49" s="80"/>
      <c r="L49" s="66"/>
      <c r="M49" s="66"/>
      <c r="N49" s="66"/>
      <c r="O49" s="66"/>
    </row>
    <row r="50" spans="2:15" ht="14.25" thickTop="1" thickBot="1" x14ac:dyDescent="0.25">
      <c r="B50" s="100"/>
      <c r="C50" s="101"/>
      <c r="D50" s="101"/>
      <c r="E50" s="101"/>
      <c r="F50" s="100"/>
      <c r="G50" s="100"/>
      <c r="H50" s="100"/>
      <c r="I50" s="100"/>
      <c r="J50" s="100"/>
      <c r="K50" s="100"/>
    </row>
    <row r="51" spans="2:15" x14ac:dyDescent="0.2">
      <c r="C51" s="381"/>
      <c r="D51" s="381"/>
      <c r="E51" s="381"/>
    </row>
    <row r="52" spans="2:15" x14ac:dyDescent="0.2">
      <c r="C52" s="65"/>
      <c r="D52" s="65"/>
      <c r="E52" s="381"/>
    </row>
    <row r="53" spans="2:15" x14ac:dyDescent="0.2">
      <c r="C53" s="65"/>
      <c r="D53" s="65"/>
      <c r="E53" s="382"/>
    </row>
    <row r="54" spans="2:15" x14ac:dyDescent="0.2">
      <c r="G54" s="383"/>
      <c r="H54" s="383"/>
      <c r="I54" s="383"/>
    </row>
    <row r="55" spans="2:15" x14ac:dyDescent="0.2">
      <c r="E55" s="508"/>
      <c r="F55" s="509"/>
      <c r="G55" s="510"/>
      <c r="H55" s="24"/>
      <c r="I55" s="368">
        <f>ROUND(('Plant Total by Account'!D9+'Plant Total by Account'!D31-D37),0)</f>
        <v>0</v>
      </c>
    </row>
    <row r="56" spans="2:15" x14ac:dyDescent="0.2">
      <c r="C56" s="383"/>
      <c r="D56" s="383"/>
      <c r="G56" s="383"/>
      <c r="H56" s="383"/>
      <c r="I56" s="383"/>
    </row>
    <row r="57" spans="2:15" x14ac:dyDescent="0.2">
      <c r="G57" s="383"/>
    </row>
    <row r="58" spans="2:15" x14ac:dyDescent="0.2">
      <c r="G58" s="383"/>
    </row>
    <row r="59" spans="2:15" x14ac:dyDescent="0.2">
      <c r="G59" s="383"/>
    </row>
    <row r="60" spans="2:15" x14ac:dyDescent="0.2">
      <c r="G60" s="383"/>
    </row>
    <row r="61" spans="2:15" x14ac:dyDescent="0.2">
      <c r="G61" s="383"/>
    </row>
    <row r="62" spans="2:15" x14ac:dyDescent="0.2">
      <c r="G62" s="383"/>
    </row>
    <row r="63" spans="2:15" x14ac:dyDescent="0.2">
      <c r="G63" s="383"/>
    </row>
    <row r="64" spans="2:15" x14ac:dyDescent="0.2">
      <c r="G64" s="383"/>
    </row>
    <row r="65" spans="7:7" x14ac:dyDescent="0.2">
      <c r="G65" s="383"/>
    </row>
    <row r="66" spans="7:7" x14ac:dyDescent="0.2">
      <c r="G66" s="383"/>
    </row>
    <row r="67" spans="7:7" x14ac:dyDescent="0.2">
      <c r="G67" s="383"/>
    </row>
  </sheetData>
  <mergeCells count="7">
    <mergeCell ref="C20:D20"/>
    <mergeCell ref="B5:K5"/>
    <mergeCell ref="B1:K1"/>
    <mergeCell ref="B2:K2"/>
    <mergeCell ref="B3:K3"/>
    <mergeCell ref="B4:K4"/>
    <mergeCell ref="G7:K8"/>
  </mergeCells>
  <phoneticPr fontId="23" type="noConversion"/>
  <printOptions horizontalCentered="1"/>
  <pageMargins left="0.5" right="0.5" top="0.25" bottom="0.5" header="0.17" footer="0.17"/>
  <pageSetup scale="78" orientation="landscape" r:id="rId1"/>
  <headerFooter alignWithMargins="0">
    <oddHeader>&amp;R&amp;10TO8 Annual Update (Revised)
Attachment 2
&amp;9WP‐Schedule 7-2011 Plant Study&amp;10
Page &amp;P of &amp;N</oddHeader>
    <oddFooter>&amp;C&amp;A</oddFooter>
  </headerFooter>
  <rowBreaks count="1" manualBreakCount="1">
    <brk id="3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H33"/>
  <sheetViews>
    <sheetView showGridLines="0" zoomScaleNormal="100" workbookViewId="0">
      <selection activeCell="E51" sqref="E51"/>
    </sheetView>
  </sheetViews>
  <sheetFormatPr defaultRowHeight="15" x14ac:dyDescent="0.25"/>
  <cols>
    <col min="1" max="1" width="19.5703125" style="15" bestFit="1" customWidth="1"/>
    <col min="2" max="2" width="19.5703125" style="15" customWidth="1"/>
    <col min="3" max="3" width="2.5703125" style="15" customWidth="1"/>
    <col min="4" max="4" width="13.42578125" style="15" customWidth="1"/>
    <col min="5" max="5" width="14.28515625" style="15" bestFit="1" customWidth="1"/>
    <col min="6" max="7" width="11.5703125" style="15" bestFit="1" customWidth="1"/>
    <col min="8" max="8" width="12.28515625" style="15" bestFit="1" customWidth="1"/>
    <col min="9" max="16384" width="9.140625" style="15"/>
  </cols>
  <sheetData>
    <row r="1" spans="1:8" ht="18.75" x14ac:dyDescent="0.3">
      <c r="A1" s="781" t="s">
        <v>1483</v>
      </c>
      <c r="B1" s="781"/>
      <c r="C1" s="781"/>
      <c r="D1" s="781"/>
      <c r="E1" s="781"/>
      <c r="F1" s="781"/>
      <c r="G1" s="781"/>
      <c r="H1" s="781"/>
    </row>
    <row r="2" spans="1:8" x14ac:dyDescent="0.25">
      <c r="A2" s="782" t="s">
        <v>1484</v>
      </c>
      <c r="B2" s="782"/>
      <c r="C2" s="782"/>
      <c r="D2" s="782"/>
      <c r="E2" s="782"/>
      <c r="F2" s="782"/>
      <c r="G2" s="782"/>
      <c r="H2" s="782"/>
    </row>
    <row r="3" spans="1:8" x14ac:dyDescent="0.25">
      <c r="A3" s="782" t="s">
        <v>3351</v>
      </c>
      <c r="B3" s="782"/>
      <c r="C3" s="782"/>
      <c r="D3" s="782"/>
      <c r="E3" s="782"/>
      <c r="F3" s="782"/>
      <c r="G3" s="782"/>
      <c r="H3" s="782"/>
    </row>
    <row r="4" spans="1:8" x14ac:dyDescent="0.25">
      <c r="A4" s="782" t="s">
        <v>1716</v>
      </c>
      <c r="B4" s="782"/>
      <c r="C4" s="782"/>
      <c r="D4" s="782"/>
      <c r="E4" s="782"/>
      <c r="F4" s="782"/>
      <c r="G4" s="782"/>
      <c r="H4" s="782"/>
    </row>
    <row r="5" spans="1:8" ht="12.75" customHeight="1" x14ac:dyDescent="0.25">
      <c r="A5" s="783" t="s">
        <v>1487</v>
      </c>
      <c r="B5" s="783"/>
      <c r="C5" s="783"/>
      <c r="D5" s="783"/>
      <c r="E5" s="783"/>
      <c r="F5" s="783"/>
      <c r="G5" s="783"/>
      <c r="H5" s="783"/>
    </row>
    <row r="6" spans="1:8" ht="15.75" thickBot="1" x14ac:dyDescent="0.3">
      <c r="A6" s="580"/>
      <c r="B6" s="580"/>
      <c r="C6" s="580"/>
      <c r="D6" s="580"/>
      <c r="E6" s="580"/>
      <c r="F6" s="580"/>
      <c r="G6" s="580"/>
      <c r="H6" s="580"/>
    </row>
    <row r="7" spans="1:8" ht="25.5" x14ac:dyDescent="0.25">
      <c r="A7" s="87" t="s">
        <v>1478</v>
      </c>
      <c r="B7" s="88" t="s">
        <v>1481</v>
      </c>
      <c r="C7" s="88"/>
      <c r="D7" s="89" t="s">
        <v>1471</v>
      </c>
      <c r="E7" s="90" t="s">
        <v>1472</v>
      </c>
      <c r="F7" s="90" t="s">
        <v>1473</v>
      </c>
      <c r="G7" s="90" t="s">
        <v>1474</v>
      </c>
      <c r="H7" s="91" t="s">
        <v>1475</v>
      </c>
    </row>
    <row r="8" spans="1:8" x14ac:dyDescent="0.25">
      <c r="A8" s="14"/>
      <c r="B8" s="14"/>
      <c r="D8" s="5"/>
      <c r="E8" s="5"/>
      <c r="F8" s="14"/>
      <c r="G8" s="14"/>
      <c r="H8" s="14"/>
    </row>
    <row r="9" spans="1:8" x14ac:dyDescent="0.25">
      <c r="A9" s="92" t="s">
        <v>1479</v>
      </c>
      <c r="B9" s="16"/>
      <c r="C9" s="94"/>
      <c r="D9" s="5"/>
      <c r="E9" s="5"/>
      <c r="F9" s="14"/>
      <c r="G9" s="14"/>
      <c r="H9" s="14"/>
    </row>
    <row r="10" spans="1:8" x14ac:dyDescent="0.25">
      <c r="A10" s="17" t="s">
        <v>1006</v>
      </c>
      <c r="B10" s="95">
        <v>5090</v>
      </c>
      <c r="C10" s="99"/>
      <c r="D10" s="6">
        <v>13182.65</v>
      </c>
      <c r="E10" s="6">
        <v>0</v>
      </c>
      <c r="F10" s="96">
        <v>65978686.200000003</v>
      </c>
      <c r="G10" s="96">
        <v>0</v>
      </c>
      <c r="H10" s="96">
        <v>897479.72999999986</v>
      </c>
    </row>
    <row r="11" spans="1:8" x14ac:dyDescent="0.25">
      <c r="A11" s="18"/>
      <c r="B11" s="19"/>
      <c r="C11" s="94"/>
      <c r="F11" s="6"/>
      <c r="G11" s="6"/>
      <c r="H11" s="6"/>
    </row>
    <row r="12" spans="1:8" x14ac:dyDescent="0.25">
      <c r="A12" s="93" t="s">
        <v>1480</v>
      </c>
      <c r="B12" s="19"/>
      <c r="C12" s="94"/>
      <c r="D12" s="6"/>
      <c r="E12" s="6"/>
      <c r="F12" s="6"/>
      <c r="G12" s="6"/>
      <c r="H12" s="6"/>
    </row>
    <row r="13" spans="1:8" x14ac:dyDescent="0.25">
      <c r="A13" s="17" t="s">
        <v>1008</v>
      </c>
      <c r="B13" s="19">
        <v>5052</v>
      </c>
      <c r="C13" s="99"/>
      <c r="D13" s="96">
        <v>16725.340269883793</v>
      </c>
      <c r="E13" s="96">
        <v>5244.0877663585943</v>
      </c>
      <c r="F13" s="96">
        <v>46230540.197822832</v>
      </c>
      <c r="G13" s="96">
        <v>14495191.510099923</v>
      </c>
      <c r="H13" s="96">
        <v>9834731.4100000001</v>
      </c>
    </row>
    <row r="14" spans="1:8" x14ac:dyDescent="0.25">
      <c r="A14" s="17" t="s">
        <v>1463</v>
      </c>
      <c r="B14" s="19">
        <v>5059</v>
      </c>
      <c r="C14" s="99"/>
      <c r="D14" s="96">
        <v>93457.415128374327</v>
      </c>
      <c r="E14" s="96">
        <v>16609.128379375332</v>
      </c>
      <c r="F14" s="96">
        <v>13532042.448456863</v>
      </c>
      <c r="G14" s="96">
        <v>2404896.7110084258</v>
      </c>
      <c r="H14" s="96">
        <v>1647679.6058569031</v>
      </c>
    </row>
    <row r="15" spans="1:8" x14ac:dyDescent="0.25">
      <c r="A15" s="17" t="s">
        <v>1007</v>
      </c>
      <c r="B15" s="19">
        <v>5040</v>
      </c>
      <c r="C15" s="99"/>
      <c r="D15" s="96">
        <v>0</v>
      </c>
      <c r="E15" s="96">
        <v>0</v>
      </c>
      <c r="F15" s="96">
        <v>1480879.5530741161</v>
      </c>
      <c r="G15" s="96">
        <v>136987.67300195651</v>
      </c>
      <c r="H15" s="96">
        <v>2030.56</v>
      </c>
    </row>
    <row r="16" spans="1:8" x14ac:dyDescent="0.25">
      <c r="A16" s="17" t="s">
        <v>129</v>
      </c>
      <c r="B16" s="20" t="s">
        <v>1384</v>
      </c>
      <c r="C16" s="99"/>
      <c r="D16" s="96">
        <v>16631.616571469622</v>
      </c>
      <c r="E16" s="96">
        <v>11953.35333822252</v>
      </c>
      <c r="F16" s="96">
        <v>8227023.8933471479</v>
      </c>
      <c r="G16" s="96">
        <v>5912866.2025478557</v>
      </c>
      <c r="H16" s="96">
        <v>1877296.6759396826</v>
      </c>
    </row>
    <row r="17" spans="1:8" x14ac:dyDescent="0.25">
      <c r="A17" s="17" t="s">
        <v>1009</v>
      </c>
      <c r="B17" s="19">
        <v>8049</v>
      </c>
      <c r="C17" s="99"/>
      <c r="D17" s="96">
        <v>3036.4624176767879</v>
      </c>
      <c r="E17" s="96">
        <v>15795.106387448708</v>
      </c>
      <c r="F17" s="96">
        <v>8565937.2100707106</v>
      </c>
      <c r="G17" s="96">
        <v>44558394.253004141</v>
      </c>
      <c r="H17" s="96">
        <v>1375066.6304219943</v>
      </c>
    </row>
    <row r="18" spans="1:8" ht="15.75" thickBot="1" x14ac:dyDescent="0.3">
      <c r="A18" s="97"/>
      <c r="B18" s="97"/>
      <c r="C18" s="97"/>
      <c r="D18" s="98"/>
      <c r="E18" s="98"/>
      <c r="F18" s="98"/>
      <c r="G18" s="98"/>
      <c r="H18" s="98"/>
    </row>
    <row r="19" spans="1:8" x14ac:dyDescent="0.25">
      <c r="A19" s="94"/>
      <c r="B19" s="94"/>
      <c r="C19" s="94"/>
      <c r="D19" s="99"/>
      <c r="E19" s="99"/>
      <c r="F19" s="99"/>
      <c r="G19" s="99"/>
      <c r="H19" s="99"/>
    </row>
    <row r="20" spans="1:8" x14ac:dyDescent="0.25">
      <c r="A20" s="94"/>
      <c r="B20" s="94"/>
      <c r="C20" s="94"/>
      <c r="D20" s="94"/>
      <c r="E20" s="94"/>
      <c r="F20" s="94"/>
      <c r="G20" s="94"/>
      <c r="H20" s="94"/>
    </row>
    <row r="21" spans="1:8" x14ac:dyDescent="0.25">
      <c r="A21" s="94"/>
      <c r="B21" s="94"/>
      <c r="C21" s="94"/>
      <c r="D21" s="94"/>
      <c r="E21" s="94"/>
      <c r="F21" s="94"/>
      <c r="G21" s="94"/>
      <c r="H21" s="94"/>
    </row>
    <row r="23" spans="1:8" x14ac:dyDescent="0.25">
      <c r="E23" s="92"/>
    </row>
    <row r="24" spans="1:8" x14ac:dyDescent="0.25">
      <c r="A24" s="21"/>
      <c r="D24" s="135"/>
      <c r="E24" s="358"/>
      <c r="F24" s="135"/>
      <c r="G24" s="135"/>
      <c r="H24" s="135"/>
    </row>
    <row r="25" spans="1:8" x14ac:dyDescent="0.25">
      <c r="A25" s="21"/>
      <c r="E25" s="92"/>
    </row>
    <row r="26" spans="1:8" x14ac:dyDescent="0.25">
      <c r="A26" s="21"/>
      <c r="E26" s="17"/>
    </row>
    <row r="27" spans="1:8" x14ac:dyDescent="0.25">
      <c r="A27" s="21"/>
      <c r="E27" s="92"/>
    </row>
    <row r="28" spans="1:8" x14ac:dyDescent="0.25">
      <c r="A28" s="21"/>
      <c r="E28" s="93"/>
    </row>
    <row r="29" spans="1:8" x14ac:dyDescent="0.25">
      <c r="A29" s="21"/>
      <c r="E29" s="17"/>
    </row>
    <row r="30" spans="1:8" x14ac:dyDescent="0.25">
      <c r="A30" s="21"/>
      <c r="E30" s="17"/>
    </row>
    <row r="31" spans="1:8" x14ac:dyDescent="0.25">
      <c r="A31" s="21"/>
      <c r="E31" s="17"/>
    </row>
    <row r="32" spans="1:8" x14ac:dyDescent="0.25">
      <c r="E32" s="17"/>
    </row>
    <row r="33" spans="5:5" x14ac:dyDescent="0.25">
      <c r="E33" s="17"/>
    </row>
  </sheetData>
  <mergeCells count="5">
    <mergeCell ref="A1:H1"/>
    <mergeCell ref="A2:H2"/>
    <mergeCell ref="A3:H3"/>
    <mergeCell ref="A4:H4"/>
    <mergeCell ref="A5:H5"/>
  </mergeCells>
  <phoneticPr fontId="23" type="noConversion"/>
  <pageMargins left="0.7" right="0.7" top="0.75" bottom="0.75" header="0.3" footer="0.3"/>
  <pageSetup scale="86" orientation="portrait" r:id="rId1"/>
  <headerFooter>
    <oddHeader>&amp;R&amp;10TO8 Annual Update (Revised)
Attachment 2&amp;11
&amp;9WP‐Schedule 7-2011 Plant Study&amp;11
&amp;10Page &amp;P of &amp;N</oddHead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
  <sheetViews>
    <sheetView zoomScaleNormal="100" workbookViewId="0">
      <selection activeCell="D25" sqref="D25"/>
    </sheetView>
  </sheetViews>
  <sheetFormatPr defaultRowHeight="15" x14ac:dyDescent="0.25"/>
  <cols>
    <col min="1" max="1" width="21.28515625" customWidth="1"/>
    <col min="2" max="2" width="15.140625" customWidth="1"/>
    <col min="3" max="3" width="16.28515625" bestFit="1" customWidth="1"/>
    <col min="4" max="4" width="14.85546875" customWidth="1"/>
    <col min="5" max="5" width="1.28515625" style="671" customWidth="1"/>
    <col min="6" max="6" width="19.7109375" bestFit="1" customWidth="1"/>
    <col min="7" max="7" width="16.28515625" bestFit="1" customWidth="1"/>
    <col min="9" max="9" width="1.42578125" style="671" customWidth="1"/>
    <col min="10" max="10" width="15.28515625" customWidth="1"/>
    <col min="11" max="11" width="14.7109375" customWidth="1"/>
  </cols>
  <sheetData>
    <row r="1" spans="1:13" ht="18.75" x14ac:dyDescent="0.3">
      <c r="A1" s="785"/>
      <c r="B1" s="785"/>
      <c r="C1" s="785"/>
      <c r="D1" s="785"/>
      <c r="E1" s="785"/>
      <c r="F1" s="785"/>
      <c r="G1" s="785"/>
    </row>
    <row r="2" spans="1:13" ht="18.75" x14ac:dyDescent="0.3">
      <c r="A2" s="786" t="s">
        <v>1429</v>
      </c>
      <c r="B2" s="786"/>
      <c r="C2" s="786"/>
      <c r="D2" s="786"/>
      <c r="E2" s="760"/>
      <c r="F2" s="709" t="s">
        <v>106</v>
      </c>
      <c r="G2" s="708">
        <v>2</v>
      </c>
      <c r="H2" s="694"/>
      <c r="I2" s="763" t="s">
        <v>3354</v>
      </c>
      <c r="J2" s="707"/>
      <c r="K2" s="707"/>
      <c r="L2" s="707"/>
      <c r="M2" s="707"/>
    </row>
    <row r="3" spans="1:13" ht="15.75" x14ac:dyDescent="0.25">
      <c r="A3" s="788" t="s">
        <v>978</v>
      </c>
      <c r="B3" s="788"/>
      <c r="C3" s="788"/>
      <c r="D3" s="788"/>
      <c r="E3" s="760"/>
      <c r="F3" s="694"/>
      <c r="G3" s="694"/>
      <c r="H3" s="694"/>
      <c r="I3" s="760"/>
      <c r="J3" s="694"/>
      <c r="K3" s="694"/>
      <c r="L3" s="694"/>
      <c r="M3" s="694"/>
    </row>
    <row r="4" spans="1:13" ht="15.75" x14ac:dyDescent="0.25">
      <c r="A4" s="789" t="s">
        <v>3355</v>
      </c>
      <c r="B4" s="789"/>
      <c r="C4" s="789"/>
      <c r="D4" s="789"/>
      <c r="E4" s="760"/>
      <c r="F4" s="705">
        <v>1</v>
      </c>
      <c r="G4" s="704" t="s">
        <v>1456</v>
      </c>
      <c r="H4" s="695" t="s">
        <v>112</v>
      </c>
      <c r="I4" s="760"/>
      <c r="J4" s="694"/>
      <c r="K4" s="694"/>
      <c r="L4" s="694"/>
      <c r="M4" s="694"/>
    </row>
    <row r="5" spans="1:13" x14ac:dyDescent="0.25">
      <c r="A5" s="694"/>
      <c r="B5" s="706"/>
      <c r="C5" s="694"/>
      <c r="D5" s="694"/>
      <c r="E5" s="760"/>
      <c r="F5" s="705">
        <v>2</v>
      </c>
      <c r="G5" s="704" t="s">
        <v>1456</v>
      </c>
      <c r="H5" s="695" t="s">
        <v>113</v>
      </c>
      <c r="I5" s="760"/>
      <c r="J5" s="694"/>
      <c r="K5" s="694"/>
      <c r="L5" s="694"/>
      <c r="M5" s="694"/>
    </row>
    <row r="6" spans="1:13" ht="18.75" x14ac:dyDescent="0.3">
      <c r="A6" s="790">
        <v>2011</v>
      </c>
      <c r="B6" s="790"/>
      <c r="C6" s="790"/>
      <c r="D6" s="790"/>
      <c r="E6" s="760"/>
      <c r="F6" s="759"/>
      <c r="G6" s="703">
        <v>2010</v>
      </c>
      <c r="H6" s="759"/>
      <c r="I6" s="760"/>
      <c r="J6" s="702" t="s">
        <v>3356</v>
      </c>
      <c r="K6" s="702"/>
      <c r="L6" s="701"/>
      <c r="M6" s="694"/>
    </row>
    <row r="7" spans="1:13" ht="24" customHeight="1" thickBot="1" x14ac:dyDescent="0.3">
      <c r="A7" s="784" t="s">
        <v>980</v>
      </c>
      <c r="B7" s="784"/>
      <c r="C7" s="784"/>
      <c r="D7" s="784"/>
      <c r="E7" s="760"/>
      <c r="F7" s="696"/>
      <c r="G7" s="694"/>
      <c r="H7" s="694"/>
      <c r="I7" s="760"/>
      <c r="J7" s="700"/>
      <c r="K7" s="700"/>
      <c r="L7" s="700"/>
      <c r="M7" s="694"/>
    </row>
    <row r="8" spans="1:13" ht="38.25" x14ac:dyDescent="0.25">
      <c r="A8" s="699"/>
      <c r="B8" s="698" t="s">
        <v>981</v>
      </c>
      <c r="C8" s="698" t="s">
        <v>982</v>
      </c>
      <c r="D8" s="697" t="s">
        <v>983</v>
      </c>
      <c r="E8" s="761"/>
      <c r="F8" s="698" t="s">
        <v>981</v>
      </c>
      <c r="G8" s="698" t="s">
        <v>982</v>
      </c>
      <c r="H8" s="697" t="s">
        <v>983</v>
      </c>
      <c r="I8" s="764"/>
      <c r="J8" s="698" t="s">
        <v>981</v>
      </c>
      <c r="K8" s="698" t="s">
        <v>982</v>
      </c>
      <c r="L8" s="697" t="s">
        <v>3357</v>
      </c>
      <c r="M8" s="697" t="s">
        <v>3358</v>
      </c>
    </row>
    <row r="9" spans="1:13" x14ac:dyDescent="0.25">
      <c r="A9" s="711" t="s">
        <v>3353</v>
      </c>
      <c r="B9" s="686"/>
      <c r="C9" s="678"/>
      <c r="D9" s="686"/>
      <c r="E9" s="678"/>
      <c r="F9" s="686"/>
      <c r="G9" s="678"/>
    </row>
    <row r="10" spans="1:13" x14ac:dyDescent="0.25">
      <c r="A10" s="710">
        <v>350</v>
      </c>
      <c r="B10" s="748">
        <v>238723490</v>
      </c>
      <c r="C10" s="748">
        <v>156609995</v>
      </c>
      <c r="D10" s="725">
        <v>0.65600000000000003</v>
      </c>
      <c r="E10" s="678"/>
      <c r="F10" s="748">
        <v>235893513</v>
      </c>
      <c r="G10" s="748">
        <v>153978278</v>
      </c>
      <c r="H10" s="725">
        <v>0.65300000000000002</v>
      </c>
      <c r="J10" s="727">
        <v>2829977</v>
      </c>
      <c r="K10" s="727">
        <v>2631717</v>
      </c>
      <c r="L10" s="725">
        <v>1.2E-2</v>
      </c>
      <c r="M10" s="725">
        <v>1.7000000000000001E-2</v>
      </c>
    </row>
    <row r="11" spans="1:13" x14ac:dyDescent="0.25">
      <c r="A11" s="710"/>
      <c r="B11" s="749"/>
      <c r="C11" s="749"/>
      <c r="D11" s="678"/>
      <c r="E11" s="678"/>
      <c r="F11" s="749"/>
      <c r="G11" s="749"/>
      <c r="H11" s="726"/>
      <c r="J11" s="717"/>
      <c r="K11" s="717"/>
      <c r="L11" s="718"/>
      <c r="M11" s="718"/>
    </row>
    <row r="12" spans="1:13" x14ac:dyDescent="0.25">
      <c r="A12" s="712" t="s">
        <v>988</v>
      </c>
      <c r="B12" s="749"/>
      <c r="C12" s="749"/>
      <c r="D12" s="678"/>
      <c r="E12" s="678"/>
      <c r="F12" s="749"/>
      <c r="G12" s="749"/>
      <c r="H12" s="726"/>
      <c r="J12" s="717"/>
      <c r="K12" s="717"/>
      <c r="L12" s="718"/>
      <c r="M12" s="718"/>
    </row>
    <row r="13" spans="1:13" x14ac:dyDescent="0.25">
      <c r="A13" s="710">
        <v>352</v>
      </c>
      <c r="B13" s="749">
        <v>334506130</v>
      </c>
      <c r="C13" s="749">
        <v>169829371</v>
      </c>
      <c r="D13" s="678">
        <v>0.50800000000000001</v>
      </c>
      <c r="E13" s="678"/>
      <c r="F13" s="749">
        <v>297909732</v>
      </c>
      <c r="G13" s="749">
        <v>175457663</v>
      </c>
      <c r="H13" s="726">
        <v>0.58899999999999997</v>
      </c>
      <c r="J13" s="750">
        <v>36596398</v>
      </c>
      <c r="K13" s="750">
        <v>-5628292</v>
      </c>
      <c r="L13" s="726">
        <v>0.123</v>
      </c>
      <c r="M13" s="726">
        <v>-3.2000000000000001E-2</v>
      </c>
    </row>
    <row r="14" spans="1:13" x14ac:dyDescent="0.25">
      <c r="A14" s="710">
        <v>353</v>
      </c>
      <c r="B14" s="748">
        <v>3421750786</v>
      </c>
      <c r="C14" s="748">
        <v>1741359026</v>
      </c>
      <c r="D14" s="725">
        <v>0.50900000000000001</v>
      </c>
      <c r="E14" s="678"/>
      <c r="F14" s="748">
        <v>3214736591</v>
      </c>
      <c r="G14" s="748">
        <v>1680213303</v>
      </c>
      <c r="H14" s="725">
        <v>0.52300000000000002</v>
      </c>
      <c r="J14" s="751">
        <v>207014195</v>
      </c>
      <c r="K14" s="751">
        <v>61145723</v>
      </c>
      <c r="L14" s="725">
        <v>6.4000000000000001E-2</v>
      </c>
      <c r="M14" s="725">
        <v>3.5999999999999997E-2</v>
      </c>
    </row>
    <row r="15" spans="1:13" x14ac:dyDescent="0.25">
      <c r="A15" s="715" t="s">
        <v>984</v>
      </c>
      <c r="B15" s="749">
        <v>3756256916</v>
      </c>
      <c r="C15" s="749">
        <v>1911188397</v>
      </c>
      <c r="D15" s="678">
        <v>0.50900000000000001</v>
      </c>
      <c r="E15" s="678"/>
      <c r="F15" s="749">
        <v>3512646323</v>
      </c>
      <c r="G15" s="749">
        <v>1855670966</v>
      </c>
      <c r="H15" s="726">
        <v>0.52800000000000002</v>
      </c>
      <c r="J15" s="750">
        <v>243610593</v>
      </c>
      <c r="K15" s="750">
        <v>55517431</v>
      </c>
      <c r="L15" s="726">
        <v>6.9000000000000006E-2</v>
      </c>
      <c r="M15" s="726">
        <v>0.03</v>
      </c>
    </row>
    <row r="16" spans="1:13" x14ac:dyDescent="0.25">
      <c r="A16" s="713"/>
      <c r="B16" s="749"/>
      <c r="C16" s="749"/>
      <c r="D16" s="678"/>
      <c r="E16" s="678"/>
      <c r="F16" s="749"/>
      <c r="G16" s="749"/>
      <c r="H16" s="726"/>
      <c r="J16" s="750"/>
      <c r="K16" s="750"/>
      <c r="L16" s="718"/>
      <c r="M16" s="718"/>
    </row>
    <row r="17" spans="1:13" x14ac:dyDescent="0.25">
      <c r="A17" s="711" t="s">
        <v>986</v>
      </c>
      <c r="B17" s="749"/>
      <c r="C17" s="749"/>
      <c r="D17" s="678"/>
      <c r="E17" s="678"/>
      <c r="F17" s="749"/>
      <c r="G17" s="749"/>
      <c r="H17" s="726"/>
      <c r="J17" s="750"/>
      <c r="K17" s="750"/>
      <c r="L17" s="718"/>
      <c r="M17" s="718"/>
    </row>
    <row r="18" spans="1:13" x14ac:dyDescent="0.25">
      <c r="A18" s="710">
        <v>354</v>
      </c>
      <c r="B18" s="749">
        <v>601728048</v>
      </c>
      <c r="C18" s="749">
        <v>550516805</v>
      </c>
      <c r="D18" s="678">
        <v>0.91500000000000004</v>
      </c>
      <c r="E18" s="678"/>
      <c r="F18" s="749">
        <v>675240065</v>
      </c>
      <c r="G18" s="749">
        <v>625307190</v>
      </c>
      <c r="H18" s="726">
        <v>0.92600000000000005</v>
      </c>
      <c r="J18" s="750">
        <v>-73512017</v>
      </c>
      <c r="K18" s="750">
        <v>-74790385</v>
      </c>
      <c r="L18" s="726">
        <v>-0.109</v>
      </c>
      <c r="M18" s="726">
        <v>-0.12</v>
      </c>
    </row>
    <row r="19" spans="1:13" x14ac:dyDescent="0.25">
      <c r="A19" s="710">
        <v>355</v>
      </c>
      <c r="B19" s="749">
        <v>545742641</v>
      </c>
      <c r="C19" s="749">
        <v>132075054</v>
      </c>
      <c r="D19" s="678">
        <v>0.24199999999999999</v>
      </c>
      <c r="E19" s="678"/>
      <c r="F19" s="749">
        <v>517953902</v>
      </c>
      <c r="G19" s="749">
        <v>113770199</v>
      </c>
      <c r="H19" s="726">
        <v>0.22</v>
      </c>
      <c r="J19" s="750">
        <v>27788739</v>
      </c>
      <c r="K19" s="750">
        <v>18304855</v>
      </c>
      <c r="L19" s="726">
        <v>5.3999999999999999E-2</v>
      </c>
      <c r="M19" s="726">
        <v>0.161</v>
      </c>
    </row>
    <row r="20" spans="1:13" x14ac:dyDescent="0.25">
      <c r="A20" s="710">
        <v>356</v>
      </c>
      <c r="B20" s="749">
        <v>617979719</v>
      </c>
      <c r="C20" s="749">
        <v>421892563</v>
      </c>
      <c r="D20" s="678">
        <v>0.68300000000000005</v>
      </c>
      <c r="E20" s="678"/>
      <c r="F20" s="749">
        <v>614853418</v>
      </c>
      <c r="G20" s="749">
        <v>422173397</v>
      </c>
      <c r="H20" s="726">
        <v>0.68700000000000006</v>
      </c>
      <c r="J20" s="750">
        <v>3126301</v>
      </c>
      <c r="K20" s="750">
        <v>-280834</v>
      </c>
      <c r="L20" s="726">
        <v>5.0000000000000001E-3</v>
      </c>
      <c r="M20" s="726">
        <v>-1E-3</v>
      </c>
    </row>
    <row r="21" spans="1:13" x14ac:dyDescent="0.25">
      <c r="A21" s="710">
        <v>357</v>
      </c>
      <c r="B21" s="749">
        <v>46153376</v>
      </c>
      <c r="C21" s="749">
        <v>558943</v>
      </c>
      <c r="D21" s="678">
        <v>1.2E-2</v>
      </c>
      <c r="E21" s="678"/>
      <c r="F21" s="749">
        <v>42767669</v>
      </c>
      <c r="G21" s="749">
        <v>284096</v>
      </c>
      <c r="H21" s="726">
        <v>7.0000000000000001E-3</v>
      </c>
      <c r="J21" s="750">
        <v>3385707</v>
      </c>
      <c r="K21" s="750">
        <v>274847</v>
      </c>
      <c r="L21" s="726">
        <v>7.9000000000000001E-2</v>
      </c>
      <c r="M21" s="726">
        <v>0.96699999999999997</v>
      </c>
    </row>
    <row r="22" spans="1:13" x14ac:dyDescent="0.25">
      <c r="A22" s="710">
        <v>358</v>
      </c>
      <c r="B22" s="749">
        <v>183442133</v>
      </c>
      <c r="C22" s="749">
        <v>3408604</v>
      </c>
      <c r="D22" s="678">
        <v>1.9E-2</v>
      </c>
      <c r="E22" s="678"/>
      <c r="F22" s="749">
        <v>175961590</v>
      </c>
      <c r="G22" s="749">
        <v>2302928</v>
      </c>
      <c r="H22" s="726">
        <v>1.2999999999999999E-2</v>
      </c>
      <c r="J22" s="750">
        <v>7480543</v>
      </c>
      <c r="K22" s="750">
        <v>1105676</v>
      </c>
      <c r="L22" s="726">
        <v>4.2999999999999997E-2</v>
      </c>
      <c r="M22" s="726">
        <v>0.48</v>
      </c>
    </row>
    <row r="23" spans="1:13" x14ac:dyDescent="0.25">
      <c r="A23" s="710">
        <v>359</v>
      </c>
      <c r="B23" s="748">
        <v>113892833</v>
      </c>
      <c r="C23" s="748">
        <v>110352407</v>
      </c>
      <c r="D23" s="725">
        <v>0.96899999999999997</v>
      </c>
      <c r="E23" s="678"/>
      <c r="F23" s="748">
        <v>31912655</v>
      </c>
      <c r="G23" s="748">
        <v>28619068</v>
      </c>
      <c r="H23" s="725">
        <v>0.89700000000000002</v>
      </c>
      <c r="J23" s="751">
        <v>81980178</v>
      </c>
      <c r="K23" s="751">
        <v>81733339</v>
      </c>
      <c r="L23" s="725">
        <v>2.569</v>
      </c>
      <c r="M23" s="725">
        <v>2.8559999999999999</v>
      </c>
    </row>
    <row r="24" spans="1:13" x14ac:dyDescent="0.25">
      <c r="A24" s="715" t="s">
        <v>987</v>
      </c>
      <c r="B24" s="749">
        <v>2108938749</v>
      </c>
      <c r="C24" s="749">
        <v>1218804376</v>
      </c>
      <c r="D24" s="678">
        <v>0.57799999999999996</v>
      </c>
      <c r="E24" s="678"/>
      <c r="F24" s="749">
        <v>2058689299</v>
      </c>
      <c r="G24" s="749">
        <v>1192456878</v>
      </c>
      <c r="H24" s="726">
        <v>0.57899999999999996</v>
      </c>
      <c r="J24" s="750">
        <v>50249450</v>
      </c>
      <c r="K24" s="750">
        <v>26347498</v>
      </c>
      <c r="L24" s="726">
        <v>2.4E-2</v>
      </c>
      <c r="M24" s="726">
        <v>2.1999999999999999E-2</v>
      </c>
    </row>
    <row r="25" spans="1:13" ht="23.25" customHeight="1" x14ac:dyDescent="0.25">
      <c r="A25" s="714"/>
      <c r="B25" s="688"/>
      <c r="C25" s="688"/>
      <c r="D25" s="689"/>
      <c r="E25" s="689"/>
      <c r="F25" s="688"/>
      <c r="G25" s="690"/>
      <c r="H25" s="718"/>
      <c r="J25" s="716"/>
      <c r="K25" s="716"/>
      <c r="L25" s="718"/>
      <c r="M25" s="718"/>
    </row>
    <row r="26" spans="1:13" ht="27" customHeight="1" thickBot="1" x14ac:dyDescent="0.3">
      <c r="A26" s="746" t="s">
        <v>1719</v>
      </c>
      <c r="B26" s="728">
        <v>6103919155</v>
      </c>
      <c r="C26" s="728">
        <v>3286602768</v>
      </c>
      <c r="D26" s="729">
        <v>0.53800000000000003</v>
      </c>
      <c r="E26" s="758"/>
      <c r="F26" s="728">
        <v>5807229135</v>
      </c>
      <c r="G26" s="728">
        <v>3202106122</v>
      </c>
      <c r="H26" s="729">
        <v>0.55100000000000005</v>
      </c>
      <c r="I26" s="758"/>
      <c r="J26" s="728">
        <v>296690020</v>
      </c>
      <c r="K26" s="728">
        <v>84496646</v>
      </c>
      <c r="L26" s="729">
        <v>5.0999999999999997E-2</v>
      </c>
      <c r="M26" s="729">
        <v>2.5999999999999999E-2</v>
      </c>
    </row>
    <row r="27" spans="1:13" x14ac:dyDescent="0.25">
      <c r="A27" s="787"/>
      <c r="B27" s="787"/>
      <c r="C27" s="787"/>
      <c r="D27" s="787"/>
      <c r="E27" s="787"/>
      <c r="F27" s="787"/>
      <c r="G27" s="787"/>
      <c r="H27" s="718"/>
      <c r="L27" s="718"/>
      <c r="M27" s="718"/>
    </row>
    <row r="28" spans="1:13" ht="16.5" thickBot="1" x14ac:dyDescent="0.3">
      <c r="A28" s="784" t="s">
        <v>989</v>
      </c>
      <c r="B28" s="784"/>
      <c r="C28" s="784"/>
      <c r="D28" s="784"/>
      <c r="E28" s="760"/>
      <c r="F28" s="720"/>
      <c r="G28" s="719"/>
      <c r="H28" s="693"/>
      <c r="I28" s="760"/>
      <c r="J28" s="720"/>
      <c r="K28" s="724"/>
      <c r="L28" s="692"/>
      <c r="M28" s="692"/>
    </row>
    <row r="29" spans="1:13" ht="25.5" x14ac:dyDescent="0.25">
      <c r="A29" s="723"/>
      <c r="B29" s="722" t="s">
        <v>981</v>
      </c>
      <c r="C29" s="722" t="s">
        <v>982</v>
      </c>
      <c r="D29" s="721" t="s">
        <v>983</v>
      </c>
      <c r="E29" s="761"/>
      <c r="F29" s="722" t="s">
        <v>981</v>
      </c>
      <c r="G29" s="722" t="s">
        <v>982</v>
      </c>
      <c r="H29" s="691" t="s">
        <v>983</v>
      </c>
      <c r="I29" s="764"/>
      <c r="J29" s="722" t="s">
        <v>981</v>
      </c>
      <c r="K29" s="722" t="s">
        <v>982</v>
      </c>
      <c r="L29" s="691" t="s">
        <v>983</v>
      </c>
      <c r="M29" s="691" t="s">
        <v>983</v>
      </c>
    </row>
    <row r="30" spans="1:13" x14ac:dyDescent="0.25">
      <c r="A30" s="731" t="s">
        <v>990</v>
      </c>
      <c r="B30" s="734"/>
      <c r="C30" s="735"/>
      <c r="D30" s="735"/>
      <c r="E30" s="735"/>
      <c r="F30" s="736"/>
      <c r="G30" s="736"/>
      <c r="H30" s="737"/>
      <c r="I30" s="733"/>
      <c r="J30" s="94"/>
      <c r="K30" s="94"/>
      <c r="L30" s="737"/>
      <c r="M30" s="737"/>
    </row>
    <row r="31" spans="1:13" x14ac:dyDescent="0.25">
      <c r="A31" s="732">
        <v>360</v>
      </c>
      <c r="B31" s="752">
        <v>105855062</v>
      </c>
      <c r="C31" s="752">
        <v>75876</v>
      </c>
      <c r="D31" s="745">
        <v>1E-3</v>
      </c>
      <c r="E31" s="735"/>
      <c r="F31" s="752">
        <v>101703036</v>
      </c>
      <c r="G31" s="752">
        <v>25780</v>
      </c>
      <c r="H31" s="745">
        <v>0</v>
      </c>
      <c r="I31" s="733"/>
      <c r="J31" s="755">
        <v>4152026</v>
      </c>
      <c r="K31" s="755">
        <v>50096</v>
      </c>
      <c r="L31" s="745">
        <v>4.1000000000000002E-2</v>
      </c>
      <c r="M31" s="745">
        <v>1.9430000000000001</v>
      </c>
    </row>
    <row r="32" spans="1:13" x14ac:dyDescent="0.25">
      <c r="A32" s="732" t="s">
        <v>991</v>
      </c>
      <c r="B32" s="753"/>
      <c r="C32" s="753"/>
      <c r="D32" s="735"/>
      <c r="E32" s="735"/>
      <c r="F32" s="753"/>
      <c r="G32" s="753"/>
      <c r="H32" s="757"/>
      <c r="I32" s="733"/>
      <c r="J32" s="756"/>
      <c r="K32" s="756"/>
      <c r="L32" s="757"/>
      <c r="M32" s="757"/>
    </row>
    <row r="33" spans="1:13" x14ac:dyDescent="0.25">
      <c r="A33" s="732">
        <v>361</v>
      </c>
      <c r="B33" s="753">
        <v>431350910</v>
      </c>
      <c r="C33" s="753">
        <v>683247</v>
      </c>
      <c r="D33" s="735">
        <v>2E-3</v>
      </c>
      <c r="E33" s="735"/>
      <c r="F33" s="753">
        <v>399411400</v>
      </c>
      <c r="G33" s="753">
        <v>1107531</v>
      </c>
      <c r="H33" s="757">
        <v>3.0000000000000001E-3</v>
      </c>
      <c r="I33" s="733"/>
      <c r="J33" s="756">
        <v>31939510</v>
      </c>
      <c r="K33" s="756">
        <v>-424284</v>
      </c>
      <c r="L33" s="757">
        <v>0.08</v>
      </c>
      <c r="M33" s="757">
        <v>-0.38300000000000001</v>
      </c>
    </row>
    <row r="34" spans="1:13" x14ac:dyDescent="0.25">
      <c r="A34" s="732">
        <v>362</v>
      </c>
      <c r="B34" s="752">
        <v>1609973202</v>
      </c>
      <c r="C34" s="752">
        <v>5875711</v>
      </c>
      <c r="D34" s="745">
        <v>4.0000000000000001E-3</v>
      </c>
      <c r="E34" s="735"/>
      <c r="F34" s="752">
        <v>1457055947</v>
      </c>
      <c r="G34" s="752">
        <v>16087946</v>
      </c>
      <c r="H34" s="745">
        <v>1.0999999999999999E-2</v>
      </c>
      <c r="I34" s="733"/>
      <c r="J34" s="755">
        <v>152917255</v>
      </c>
      <c r="K34" s="755">
        <v>-10212235</v>
      </c>
      <c r="L34" s="745">
        <v>0.105</v>
      </c>
      <c r="M34" s="745">
        <v>-0.63500000000000001</v>
      </c>
    </row>
    <row r="35" spans="1:13" x14ac:dyDescent="0.25">
      <c r="A35" s="730" t="s">
        <v>1509</v>
      </c>
      <c r="B35" s="754">
        <v>2041324112</v>
      </c>
      <c r="C35" s="754">
        <v>6558958</v>
      </c>
      <c r="D35" s="739">
        <v>3.0000000000000001E-3</v>
      </c>
      <c r="E35" s="739"/>
      <c r="F35" s="754">
        <v>1856467347</v>
      </c>
      <c r="G35" s="754">
        <v>17195477</v>
      </c>
      <c r="H35" s="757">
        <v>8.9999999999999993E-3</v>
      </c>
      <c r="I35" s="733"/>
      <c r="J35" s="756">
        <v>184856765</v>
      </c>
      <c r="K35" s="756">
        <v>-10636519</v>
      </c>
      <c r="L35" s="757">
        <v>0.1</v>
      </c>
      <c r="M35" s="757">
        <v>-0.61899999999999999</v>
      </c>
    </row>
    <row r="36" spans="1:13" x14ac:dyDescent="0.25">
      <c r="A36" s="733"/>
      <c r="B36" s="733"/>
      <c r="C36" s="740"/>
      <c r="D36" s="733"/>
      <c r="E36" s="733"/>
      <c r="F36" s="733"/>
      <c r="G36" s="733"/>
      <c r="H36" s="737"/>
      <c r="I36" s="733"/>
      <c r="J36" s="94"/>
      <c r="K36" s="94"/>
      <c r="L36" s="757"/>
      <c r="M36" s="757"/>
    </row>
    <row r="37" spans="1:13" ht="24" customHeight="1" thickBot="1" x14ac:dyDescent="0.3">
      <c r="A37" s="744" t="s">
        <v>1720</v>
      </c>
      <c r="B37" s="742">
        <v>2147179174</v>
      </c>
      <c r="C37" s="742">
        <v>6634835</v>
      </c>
      <c r="D37" s="743">
        <v>3.0000000000000001E-3</v>
      </c>
      <c r="E37" s="762"/>
      <c r="F37" s="742">
        <v>1958170383</v>
      </c>
      <c r="G37" s="742">
        <v>17221257</v>
      </c>
      <c r="H37" s="743">
        <v>8.9999999999999993E-3</v>
      </c>
      <c r="I37" s="762"/>
      <c r="J37" s="742">
        <v>189008791</v>
      </c>
      <c r="K37" s="742">
        <v>-10586422</v>
      </c>
      <c r="L37" s="743">
        <v>9.7000000000000003E-2</v>
      </c>
      <c r="M37" s="743">
        <v>-0.61499999999999999</v>
      </c>
    </row>
    <row r="38" spans="1:13" x14ac:dyDescent="0.25">
      <c r="A38" s="741"/>
      <c r="B38" s="738"/>
      <c r="C38" s="739"/>
      <c r="D38" s="739"/>
      <c r="E38" s="739"/>
      <c r="F38" s="738"/>
      <c r="G38" s="739"/>
      <c r="H38" s="737"/>
      <c r="I38" s="733"/>
      <c r="J38" s="94"/>
      <c r="K38" s="94"/>
      <c r="L38" s="737"/>
      <c r="M38" s="737"/>
    </row>
    <row r="39" spans="1:13" ht="32.25" customHeight="1" thickBot="1" x14ac:dyDescent="0.3">
      <c r="A39" s="747" t="s">
        <v>3349</v>
      </c>
      <c r="B39" s="742">
        <v>8251098329</v>
      </c>
      <c r="C39" s="742">
        <v>3293237603</v>
      </c>
      <c r="D39" s="743">
        <v>0.39900000000000002</v>
      </c>
      <c r="E39" s="762"/>
      <c r="F39" s="742">
        <v>7765399518</v>
      </c>
      <c r="G39" s="742">
        <v>3219327379</v>
      </c>
      <c r="H39" s="743">
        <v>0.41499999999999998</v>
      </c>
      <c r="I39" s="762"/>
      <c r="J39" s="742">
        <v>485698811</v>
      </c>
      <c r="K39" s="742">
        <v>73910224</v>
      </c>
      <c r="L39" s="743">
        <v>6.3E-2</v>
      </c>
      <c r="M39" s="743">
        <v>2.3E-2</v>
      </c>
    </row>
    <row r="40" spans="1:13" x14ac:dyDescent="0.25">
      <c r="A40" s="671"/>
      <c r="B40" s="671"/>
      <c r="C40" s="671"/>
      <c r="D40" s="671"/>
      <c r="F40" s="671"/>
      <c r="G40" s="671"/>
    </row>
    <row r="41" spans="1:13" x14ac:dyDescent="0.25">
      <c r="A41" s="671"/>
      <c r="B41" s="671"/>
      <c r="C41" s="671"/>
      <c r="D41" s="671"/>
      <c r="F41" s="671"/>
      <c r="G41" s="671"/>
    </row>
    <row r="42" spans="1:13" x14ac:dyDescent="0.25">
      <c r="A42" s="671"/>
      <c r="B42" s="671"/>
      <c r="C42" s="671"/>
      <c r="D42" s="671"/>
      <c r="F42" s="671"/>
      <c r="G42" s="671"/>
    </row>
    <row r="43" spans="1:13" x14ac:dyDescent="0.25">
      <c r="A43" s="671"/>
      <c r="B43" s="671"/>
      <c r="C43" s="671"/>
      <c r="D43" s="671"/>
      <c r="F43" s="671"/>
      <c r="G43" s="671"/>
    </row>
    <row r="44" spans="1:13" x14ac:dyDescent="0.25">
      <c r="A44" s="671"/>
      <c r="B44" s="671"/>
      <c r="C44" s="671"/>
      <c r="D44" s="671"/>
      <c r="F44" s="671"/>
      <c r="G44" s="671"/>
    </row>
    <row r="45" spans="1:13" x14ac:dyDescent="0.25">
      <c r="A45" s="671"/>
      <c r="B45" s="671"/>
      <c r="C45" s="671"/>
      <c r="D45" s="671"/>
      <c r="F45" s="671"/>
      <c r="G45" s="671"/>
    </row>
    <row r="46" spans="1:13" x14ac:dyDescent="0.25">
      <c r="A46" s="671"/>
      <c r="B46" s="671"/>
      <c r="C46" s="671"/>
      <c r="D46" s="671"/>
      <c r="F46" s="671"/>
      <c r="G46" s="671"/>
    </row>
    <row r="47" spans="1:13" x14ac:dyDescent="0.25">
      <c r="A47" s="671"/>
      <c r="B47" s="671"/>
      <c r="C47" s="671"/>
      <c r="D47" s="671"/>
      <c r="F47" s="671"/>
      <c r="G47" s="671"/>
    </row>
    <row r="48" spans="1:13" x14ac:dyDescent="0.25">
      <c r="A48" s="671"/>
      <c r="B48" s="671"/>
      <c r="C48" s="671"/>
      <c r="D48" s="671"/>
      <c r="F48" s="671"/>
      <c r="G48" s="671"/>
    </row>
    <row r="49" spans="1:7" x14ac:dyDescent="0.25">
      <c r="A49" s="671"/>
      <c r="B49" s="671"/>
      <c r="C49" s="671"/>
      <c r="D49" s="671"/>
      <c r="F49" s="671"/>
      <c r="G49" s="671"/>
    </row>
    <row r="50" spans="1:7" x14ac:dyDescent="0.25">
      <c r="A50" s="671"/>
      <c r="B50" s="671"/>
      <c r="C50" s="671"/>
      <c r="D50" s="671"/>
      <c r="F50" s="671"/>
      <c r="G50" s="671"/>
    </row>
    <row r="51" spans="1:7" x14ac:dyDescent="0.25">
      <c r="A51" s="671"/>
      <c r="B51" s="671"/>
      <c r="C51" s="671"/>
      <c r="D51" s="671"/>
      <c r="F51" s="671"/>
      <c r="G51" s="671"/>
    </row>
    <row r="52" spans="1:7" x14ac:dyDescent="0.25">
      <c r="A52" s="671"/>
      <c r="B52" s="671"/>
      <c r="C52" s="671"/>
      <c r="D52" s="671"/>
      <c r="F52" s="671"/>
      <c r="G52" s="671"/>
    </row>
    <row r="53" spans="1:7" x14ac:dyDescent="0.25">
      <c r="A53" s="671"/>
      <c r="B53" s="671"/>
      <c r="C53" s="671"/>
      <c r="D53" s="671"/>
      <c r="F53" s="671"/>
      <c r="G53" s="671"/>
    </row>
    <row r="54" spans="1:7" x14ac:dyDescent="0.25">
      <c r="A54" s="671"/>
      <c r="B54" s="671"/>
      <c r="C54" s="671"/>
      <c r="D54" s="671"/>
      <c r="F54" s="671"/>
      <c r="G54" s="671"/>
    </row>
    <row r="55" spans="1:7" x14ac:dyDescent="0.25">
      <c r="A55" s="671"/>
      <c r="B55" s="671"/>
      <c r="C55" s="671"/>
      <c r="D55" s="671"/>
      <c r="F55" s="671"/>
      <c r="G55" s="671"/>
    </row>
    <row r="56" spans="1:7" x14ac:dyDescent="0.25">
      <c r="A56" s="671"/>
      <c r="B56" s="671"/>
      <c r="C56" s="671"/>
      <c r="D56" s="671"/>
      <c r="F56" s="671"/>
      <c r="G56" s="671"/>
    </row>
    <row r="57" spans="1:7" x14ac:dyDescent="0.25">
      <c r="A57" s="671"/>
      <c r="B57" s="671"/>
      <c r="C57" s="671"/>
      <c r="D57" s="671"/>
      <c r="F57" s="671"/>
      <c r="G57" s="671"/>
    </row>
    <row r="58" spans="1:7" x14ac:dyDescent="0.25">
      <c r="A58" s="671"/>
      <c r="B58" s="671"/>
      <c r="C58" s="671"/>
      <c r="D58" s="671"/>
      <c r="F58" s="671"/>
      <c r="G58" s="671"/>
    </row>
    <row r="59" spans="1:7" x14ac:dyDescent="0.25">
      <c r="A59" s="671"/>
      <c r="B59" s="671"/>
      <c r="C59" s="671"/>
      <c r="D59" s="671"/>
      <c r="F59" s="671"/>
      <c r="G59" s="671"/>
    </row>
    <row r="60" spans="1:7" x14ac:dyDescent="0.25">
      <c r="A60" s="671"/>
      <c r="B60" s="671"/>
      <c r="C60" s="671"/>
      <c r="D60" s="671"/>
      <c r="F60" s="671"/>
      <c r="G60" s="671"/>
    </row>
    <row r="61" spans="1:7" x14ac:dyDescent="0.25">
      <c r="A61" s="671"/>
      <c r="B61" s="671"/>
      <c r="C61" s="671"/>
      <c r="D61" s="671"/>
      <c r="F61" s="671"/>
      <c r="G61" s="671"/>
    </row>
    <row r="62" spans="1:7" x14ac:dyDescent="0.25">
      <c r="A62" s="671"/>
      <c r="B62" s="671"/>
      <c r="C62" s="671"/>
      <c r="D62" s="671"/>
      <c r="F62" s="671"/>
      <c r="G62" s="671"/>
    </row>
    <row r="63" spans="1:7" x14ac:dyDescent="0.25">
      <c r="A63" s="671"/>
      <c r="B63" s="671"/>
      <c r="C63" s="671"/>
      <c r="D63" s="671"/>
      <c r="F63" s="671"/>
      <c r="G63" s="671"/>
    </row>
    <row r="64" spans="1:7" x14ac:dyDescent="0.25">
      <c r="A64" s="671"/>
      <c r="B64" s="671"/>
      <c r="C64" s="671"/>
      <c r="D64" s="671"/>
      <c r="F64" s="671"/>
      <c r="G64" s="671"/>
    </row>
    <row r="65" spans="1:7" x14ac:dyDescent="0.25">
      <c r="A65" s="671"/>
      <c r="B65" s="671"/>
      <c r="C65" s="671"/>
      <c r="D65" s="671"/>
      <c r="F65" s="671"/>
      <c r="G65" s="671"/>
    </row>
    <row r="66" spans="1:7" x14ac:dyDescent="0.25">
      <c r="A66" s="671"/>
      <c r="B66" s="671"/>
      <c r="C66" s="671"/>
      <c r="D66" s="671"/>
      <c r="F66" s="671"/>
      <c r="G66" s="671"/>
    </row>
    <row r="67" spans="1:7" x14ac:dyDescent="0.25">
      <c r="A67" s="671"/>
      <c r="B67" s="671"/>
      <c r="C67" s="671"/>
      <c r="D67" s="671"/>
      <c r="F67" s="671"/>
      <c r="G67" s="671"/>
    </row>
    <row r="68" spans="1:7" x14ac:dyDescent="0.25">
      <c r="A68" s="671"/>
      <c r="B68" s="671"/>
      <c r="C68" s="671"/>
      <c r="D68" s="671"/>
      <c r="F68" s="671"/>
      <c r="G68" s="671"/>
    </row>
    <row r="69" spans="1:7" x14ac:dyDescent="0.25">
      <c r="A69" s="671"/>
      <c r="B69" s="671"/>
      <c r="C69" s="671"/>
      <c r="D69" s="671"/>
      <c r="F69" s="671"/>
      <c r="G69" s="671"/>
    </row>
    <row r="70" spans="1:7" x14ac:dyDescent="0.25">
      <c r="A70" s="671"/>
      <c r="B70" s="671"/>
      <c r="C70" s="671"/>
      <c r="D70" s="671"/>
      <c r="F70" s="671"/>
      <c r="G70" s="671"/>
    </row>
    <row r="71" spans="1:7" x14ac:dyDescent="0.25">
      <c r="A71" s="671"/>
      <c r="B71" s="671"/>
      <c r="C71" s="671"/>
      <c r="D71" s="671"/>
      <c r="F71" s="671"/>
      <c r="G71" s="671"/>
    </row>
    <row r="72" spans="1:7" x14ac:dyDescent="0.25">
      <c r="A72" s="671"/>
      <c r="B72" s="671"/>
      <c r="C72" s="671"/>
      <c r="D72" s="671"/>
      <c r="F72" s="671"/>
      <c r="G72" s="671"/>
    </row>
    <row r="73" spans="1:7" x14ac:dyDescent="0.25">
      <c r="A73" s="671"/>
      <c r="B73" s="671"/>
      <c r="C73" s="671"/>
      <c r="D73" s="671"/>
      <c r="F73" s="671"/>
      <c r="G73" s="671"/>
    </row>
    <row r="74" spans="1:7" x14ac:dyDescent="0.25">
      <c r="A74" s="671"/>
      <c r="B74" s="671"/>
      <c r="C74" s="671"/>
      <c r="D74" s="671"/>
      <c r="F74" s="671"/>
      <c r="G74" s="671"/>
    </row>
    <row r="75" spans="1:7" x14ac:dyDescent="0.25">
      <c r="A75" s="671"/>
      <c r="B75" s="671"/>
      <c r="C75" s="671"/>
      <c r="D75" s="671"/>
      <c r="F75" s="671"/>
      <c r="G75" s="671"/>
    </row>
    <row r="76" spans="1:7" x14ac:dyDescent="0.25">
      <c r="A76" s="671"/>
      <c r="B76" s="671"/>
      <c r="C76" s="671"/>
      <c r="D76" s="671"/>
      <c r="F76" s="671"/>
      <c r="G76" s="671"/>
    </row>
    <row r="77" spans="1:7" x14ac:dyDescent="0.25">
      <c r="A77" s="671"/>
      <c r="B77" s="671"/>
      <c r="C77" s="671"/>
      <c r="D77" s="671"/>
      <c r="F77" s="671"/>
      <c r="G77" s="671"/>
    </row>
    <row r="78" spans="1:7" x14ac:dyDescent="0.25">
      <c r="A78" s="671"/>
      <c r="B78" s="671"/>
      <c r="C78" s="671"/>
      <c r="D78" s="671"/>
      <c r="F78" s="671"/>
      <c r="G78" s="671"/>
    </row>
    <row r="79" spans="1:7" x14ac:dyDescent="0.25">
      <c r="A79" s="671"/>
      <c r="B79" s="671"/>
      <c r="C79" s="671"/>
      <c r="D79" s="671"/>
      <c r="F79" s="671"/>
      <c r="G79" s="671"/>
    </row>
    <row r="80" spans="1:7" x14ac:dyDescent="0.25">
      <c r="A80" s="671"/>
      <c r="B80" s="671"/>
      <c r="C80" s="671"/>
      <c r="D80" s="671"/>
      <c r="F80" s="671"/>
      <c r="G80" s="671"/>
    </row>
    <row r="81" spans="1:7" x14ac:dyDescent="0.25">
      <c r="A81" s="671"/>
      <c r="B81" s="671"/>
      <c r="C81" s="671"/>
      <c r="D81" s="671"/>
      <c r="F81" s="671"/>
      <c r="G81" s="671"/>
    </row>
    <row r="82" spans="1:7" x14ac:dyDescent="0.25">
      <c r="A82" s="671"/>
      <c r="B82" s="671"/>
      <c r="C82" s="671"/>
      <c r="D82" s="671"/>
      <c r="F82" s="671"/>
      <c r="G82" s="671"/>
    </row>
    <row r="83" spans="1:7" x14ac:dyDescent="0.25">
      <c r="A83" s="671"/>
      <c r="B83" s="671"/>
      <c r="C83" s="671"/>
      <c r="D83" s="671"/>
      <c r="F83" s="671"/>
      <c r="G83" s="671"/>
    </row>
    <row r="84" spans="1:7" x14ac:dyDescent="0.25">
      <c r="A84" s="671"/>
      <c r="B84" s="671"/>
      <c r="C84" s="671"/>
      <c r="D84" s="671"/>
      <c r="F84" s="671"/>
      <c r="G84" s="671"/>
    </row>
    <row r="85" spans="1:7" x14ac:dyDescent="0.25">
      <c r="A85" s="671"/>
      <c r="B85" s="671"/>
      <c r="C85" s="671"/>
      <c r="D85" s="671"/>
      <c r="F85" s="671"/>
      <c r="G85" s="671"/>
    </row>
    <row r="86" spans="1:7" x14ac:dyDescent="0.25">
      <c r="A86" s="671"/>
      <c r="B86" s="671"/>
      <c r="C86" s="671"/>
      <c r="D86" s="671"/>
      <c r="F86" s="671"/>
      <c r="G86" s="671"/>
    </row>
    <row r="87" spans="1:7" x14ac:dyDescent="0.25">
      <c r="A87" s="671"/>
      <c r="B87" s="671"/>
      <c r="C87" s="671"/>
      <c r="D87" s="671"/>
      <c r="F87" s="671"/>
      <c r="G87" s="671"/>
    </row>
    <row r="88" spans="1:7" x14ac:dyDescent="0.25">
      <c r="A88" s="671"/>
      <c r="B88" s="671"/>
      <c r="C88" s="671"/>
      <c r="D88" s="671"/>
      <c r="F88" s="671"/>
      <c r="G88" s="671"/>
    </row>
    <row r="89" spans="1:7" x14ac:dyDescent="0.25">
      <c r="A89" s="671"/>
      <c r="B89" s="671"/>
      <c r="C89" s="671"/>
      <c r="D89" s="671"/>
      <c r="F89" s="671"/>
      <c r="G89" s="671"/>
    </row>
    <row r="90" spans="1:7" x14ac:dyDescent="0.25">
      <c r="A90" s="671"/>
      <c r="B90" s="671"/>
      <c r="C90" s="671"/>
      <c r="D90" s="671"/>
      <c r="F90" s="671"/>
      <c r="G90" s="671"/>
    </row>
    <row r="91" spans="1:7" x14ac:dyDescent="0.25">
      <c r="A91" s="671"/>
      <c r="B91" s="671"/>
      <c r="C91" s="671"/>
      <c r="D91" s="671"/>
      <c r="F91" s="671"/>
      <c r="G91" s="671"/>
    </row>
    <row r="92" spans="1:7" x14ac:dyDescent="0.25">
      <c r="A92" s="671"/>
      <c r="B92" s="671"/>
      <c r="C92" s="671"/>
      <c r="D92" s="671"/>
      <c r="F92" s="671"/>
      <c r="G92" s="671"/>
    </row>
    <row r="93" spans="1:7" x14ac:dyDescent="0.25">
      <c r="A93" s="671"/>
      <c r="B93" s="671"/>
      <c r="C93" s="671"/>
      <c r="D93" s="671"/>
      <c r="F93" s="671"/>
      <c r="G93" s="671"/>
    </row>
    <row r="94" spans="1:7" x14ac:dyDescent="0.25">
      <c r="A94" s="671"/>
      <c r="B94" s="671"/>
      <c r="C94" s="671"/>
      <c r="D94" s="671"/>
      <c r="F94" s="671"/>
      <c r="G94" s="671"/>
    </row>
    <row r="95" spans="1:7" x14ac:dyDescent="0.25">
      <c r="A95" s="671"/>
      <c r="B95" s="671"/>
      <c r="C95" s="671"/>
      <c r="D95" s="671"/>
      <c r="F95" s="671"/>
      <c r="G95" s="671"/>
    </row>
    <row r="96" spans="1:7" x14ac:dyDescent="0.25">
      <c r="A96" s="671"/>
      <c r="B96" s="671"/>
      <c r="C96" s="671"/>
      <c r="D96" s="671"/>
      <c r="F96" s="671"/>
      <c r="G96" s="671"/>
    </row>
    <row r="97" spans="1:7" x14ac:dyDescent="0.25">
      <c r="A97" s="671"/>
      <c r="B97" s="671"/>
      <c r="C97" s="671"/>
      <c r="D97" s="671"/>
      <c r="F97" s="671"/>
      <c r="G97" s="671"/>
    </row>
    <row r="98" spans="1:7" x14ac:dyDescent="0.25">
      <c r="A98" s="671"/>
      <c r="B98" s="671"/>
      <c r="C98" s="671"/>
      <c r="D98" s="671"/>
      <c r="F98" s="671"/>
      <c r="G98" s="671"/>
    </row>
    <row r="99" spans="1:7" x14ac:dyDescent="0.25">
      <c r="A99" s="671"/>
      <c r="B99" s="671"/>
      <c r="C99" s="671"/>
      <c r="D99" s="671"/>
      <c r="F99" s="671"/>
      <c r="G99" s="671"/>
    </row>
    <row r="100" spans="1:7" x14ac:dyDescent="0.25">
      <c r="A100" s="671"/>
      <c r="B100" s="671"/>
      <c r="C100" s="671"/>
      <c r="D100" s="671"/>
      <c r="F100" s="671"/>
      <c r="G100" s="671"/>
    </row>
    <row r="101" spans="1:7" x14ac:dyDescent="0.25">
      <c r="A101" s="671"/>
      <c r="B101" s="671"/>
      <c r="C101" s="671"/>
      <c r="D101" s="671"/>
      <c r="F101" s="671"/>
      <c r="G101" s="671"/>
    </row>
    <row r="102" spans="1:7" x14ac:dyDescent="0.25">
      <c r="A102" s="671"/>
      <c r="B102" s="671"/>
      <c r="C102" s="671"/>
      <c r="D102" s="671"/>
      <c r="F102" s="671"/>
      <c r="G102" s="671"/>
    </row>
    <row r="103" spans="1:7" x14ac:dyDescent="0.25">
      <c r="A103" s="671"/>
      <c r="B103" s="671"/>
      <c r="C103" s="671"/>
      <c r="D103" s="671"/>
      <c r="F103" s="671"/>
      <c r="G103" s="671"/>
    </row>
    <row r="104" spans="1:7" x14ac:dyDescent="0.25">
      <c r="A104" s="671"/>
      <c r="B104" s="671"/>
      <c r="C104" s="671"/>
      <c r="D104" s="671"/>
      <c r="F104" s="671"/>
      <c r="G104" s="671"/>
    </row>
    <row r="105" spans="1:7" x14ac:dyDescent="0.25">
      <c r="A105" s="671"/>
      <c r="B105" s="671"/>
      <c r="C105" s="671"/>
      <c r="D105" s="671"/>
      <c r="F105" s="671"/>
      <c r="G105" s="671"/>
    </row>
    <row r="106" spans="1:7" x14ac:dyDescent="0.25">
      <c r="A106" s="671"/>
      <c r="B106" s="671"/>
      <c r="C106" s="671"/>
      <c r="D106" s="671"/>
      <c r="F106" s="671"/>
      <c r="G106" s="671"/>
    </row>
    <row r="107" spans="1:7" x14ac:dyDescent="0.25">
      <c r="A107" s="671"/>
      <c r="B107" s="671"/>
      <c r="C107" s="671"/>
      <c r="D107" s="671"/>
      <c r="F107" s="671"/>
      <c r="G107" s="671"/>
    </row>
    <row r="108" spans="1:7" x14ac:dyDescent="0.25">
      <c r="A108" s="671"/>
      <c r="B108" s="671"/>
      <c r="C108" s="671"/>
      <c r="D108" s="671"/>
      <c r="F108" s="671"/>
      <c r="G108" s="671"/>
    </row>
    <row r="109" spans="1:7" x14ac:dyDescent="0.25">
      <c r="A109" s="671"/>
      <c r="B109" s="671"/>
      <c r="C109" s="671"/>
      <c r="D109" s="671"/>
      <c r="F109" s="671"/>
      <c r="G109" s="671"/>
    </row>
    <row r="110" spans="1:7" x14ac:dyDescent="0.25">
      <c r="A110" s="671"/>
      <c r="B110" s="671"/>
      <c r="C110" s="671"/>
      <c r="D110" s="671"/>
      <c r="F110" s="671"/>
      <c r="G110" s="671"/>
    </row>
    <row r="111" spans="1:7" x14ac:dyDescent="0.25">
      <c r="A111" s="671"/>
      <c r="B111" s="671"/>
      <c r="C111" s="671"/>
      <c r="D111" s="671"/>
      <c r="F111" s="671"/>
      <c r="G111" s="671"/>
    </row>
    <row r="112" spans="1:7" x14ac:dyDescent="0.25">
      <c r="A112" s="671"/>
      <c r="B112" s="671"/>
      <c r="C112" s="671"/>
      <c r="D112" s="671"/>
      <c r="F112" s="671"/>
      <c r="G112" s="671"/>
    </row>
    <row r="113" spans="1:7" x14ac:dyDescent="0.25">
      <c r="A113" s="671"/>
      <c r="B113" s="671"/>
      <c r="C113" s="671"/>
      <c r="D113" s="671"/>
      <c r="F113" s="671"/>
      <c r="G113" s="671"/>
    </row>
    <row r="114" spans="1:7" x14ac:dyDescent="0.25">
      <c r="A114" s="671"/>
      <c r="B114" s="671"/>
      <c r="C114" s="671"/>
      <c r="D114" s="671"/>
      <c r="F114" s="671"/>
      <c r="G114" s="671"/>
    </row>
    <row r="115" spans="1:7" x14ac:dyDescent="0.25">
      <c r="A115" s="671"/>
      <c r="B115" s="671"/>
      <c r="C115" s="671"/>
      <c r="D115" s="671"/>
      <c r="F115" s="671"/>
      <c r="G115" s="671"/>
    </row>
    <row r="116" spans="1:7" x14ac:dyDescent="0.25">
      <c r="A116" s="671"/>
      <c r="B116" s="671"/>
      <c r="C116" s="671"/>
      <c r="D116" s="671"/>
      <c r="F116" s="671"/>
      <c r="G116" s="671"/>
    </row>
    <row r="117" spans="1:7" x14ac:dyDescent="0.25">
      <c r="A117" s="671"/>
      <c r="B117" s="671"/>
      <c r="C117" s="671"/>
      <c r="D117" s="671"/>
      <c r="F117" s="671"/>
      <c r="G117" s="671"/>
    </row>
    <row r="118" spans="1:7" x14ac:dyDescent="0.25">
      <c r="A118" s="671"/>
      <c r="B118" s="671"/>
      <c r="C118" s="671"/>
      <c r="D118" s="671"/>
      <c r="F118" s="671"/>
      <c r="G118" s="671"/>
    </row>
    <row r="119" spans="1:7" x14ac:dyDescent="0.25">
      <c r="A119" s="671"/>
      <c r="B119" s="671"/>
      <c r="C119" s="671"/>
      <c r="D119" s="671"/>
      <c r="F119" s="671"/>
      <c r="G119" s="671"/>
    </row>
    <row r="120" spans="1:7" x14ac:dyDescent="0.25">
      <c r="A120" s="671"/>
      <c r="B120" s="671"/>
      <c r="C120" s="671"/>
      <c r="D120" s="671"/>
      <c r="F120" s="671"/>
      <c r="G120" s="671"/>
    </row>
    <row r="121" spans="1:7" x14ac:dyDescent="0.25">
      <c r="A121" s="671"/>
      <c r="B121" s="671"/>
      <c r="C121" s="671"/>
      <c r="D121" s="671"/>
      <c r="F121" s="671"/>
      <c r="G121" s="671"/>
    </row>
    <row r="122" spans="1:7" x14ac:dyDescent="0.25">
      <c r="A122" s="671"/>
      <c r="B122" s="671"/>
      <c r="C122" s="671"/>
      <c r="D122" s="671"/>
      <c r="F122" s="671"/>
      <c r="G122" s="671"/>
    </row>
    <row r="123" spans="1:7" x14ac:dyDescent="0.25">
      <c r="A123" s="671"/>
      <c r="B123" s="671"/>
      <c r="C123" s="671"/>
      <c r="D123" s="671"/>
      <c r="F123" s="671"/>
      <c r="G123" s="671"/>
    </row>
    <row r="124" spans="1:7" x14ac:dyDescent="0.25">
      <c r="A124" s="671"/>
      <c r="B124" s="671"/>
      <c r="C124" s="671"/>
      <c r="D124" s="671"/>
      <c r="F124" s="671"/>
      <c r="G124" s="671"/>
    </row>
    <row r="125" spans="1:7" x14ac:dyDescent="0.25">
      <c r="A125" s="671"/>
      <c r="B125" s="671"/>
      <c r="C125" s="671"/>
      <c r="D125" s="671"/>
      <c r="F125" s="671"/>
      <c r="G125" s="671"/>
    </row>
    <row r="126" spans="1:7" x14ac:dyDescent="0.25">
      <c r="A126" s="671"/>
      <c r="B126" s="671"/>
      <c r="C126" s="671"/>
      <c r="D126" s="671"/>
      <c r="F126" s="671"/>
      <c r="G126" s="671"/>
    </row>
    <row r="127" spans="1:7" x14ac:dyDescent="0.25">
      <c r="A127" s="671"/>
      <c r="B127" s="671"/>
      <c r="C127" s="671"/>
      <c r="D127" s="671"/>
      <c r="F127" s="671"/>
      <c r="G127" s="671"/>
    </row>
    <row r="128" spans="1:7" x14ac:dyDescent="0.25">
      <c r="A128" s="671"/>
      <c r="B128" s="671"/>
      <c r="C128" s="671"/>
      <c r="D128" s="671"/>
      <c r="F128" s="671"/>
      <c r="G128" s="671"/>
    </row>
    <row r="129" spans="1:7" x14ac:dyDescent="0.25">
      <c r="A129" s="671"/>
      <c r="B129" s="671"/>
      <c r="C129" s="671"/>
      <c r="D129" s="671"/>
      <c r="F129" s="671"/>
      <c r="G129" s="671"/>
    </row>
    <row r="130" spans="1:7" x14ac:dyDescent="0.25">
      <c r="A130" s="671"/>
      <c r="B130" s="671"/>
      <c r="C130" s="671"/>
      <c r="D130" s="671"/>
      <c r="F130" s="671"/>
      <c r="G130" s="671"/>
    </row>
    <row r="131" spans="1:7" x14ac:dyDescent="0.25">
      <c r="A131" s="671"/>
      <c r="B131" s="671"/>
      <c r="C131" s="671"/>
      <c r="D131" s="671"/>
      <c r="F131" s="671"/>
      <c r="G131" s="671"/>
    </row>
    <row r="132" spans="1:7" x14ac:dyDescent="0.25">
      <c r="A132" s="671"/>
      <c r="B132" s="671"/>
      <c r="C132" s="671"/>
      <c r="D132" s="671"/>
      <c r="F132" s="671"/>
      <c r="G132" s="671"/>
    </row>
    <row r="133" spans="1:7" x14ac:dyDescent="0.25">
      <c r="A133" s="671"/>
      <c r="B133" s="671"/>
      <c r="C133" s="671"/>
      <c r="D133" s="671"/>
      <c r="F133" s="671"/>
      <c r="G133" s="671"/>
    </row>
    <row r="134" spans="1:7" x14ac:dyDescent="0.25">
      <c r="A134" s="671"/>
      <c r="B134" s="671"/>
      <c r="C134" s="671"/>
      <c r="D134" s="671"/>
      <c r="F134" s="671"/>
      <c r="G134" s="671"/>
    </row>
    <row r="135" spans="1:7" x14ac:dyDescent="0.25">
      <c r="A135" s="671"/>
      <c r="B135" s="671"/>
      <c r="C135" s="671"/>
      <c r="D135" s="671"/>
      <c r="F135" s="671"/>
      <c r="G135" s="671"/>
    </row>
    <row r="136" spans="1:7" x14ac:dyDescent="0.25">
      <c r="A136" s="671"/>
      <c r="B136" s="671"/>
      <c r="C136" s="671"/>
      <c r="D136" s="671"/>
      <c r="F136" s="671"/>
      <c r="G136" s="671"/>
    </row>
    <row r="137" spans="1:7" x14ac:dyDescent="0.25">
      <c r="A137" s="671"/>
      <c r="B137" s="671"/>
      <c r="C137" s="671"/>
      <c r="D137" s="671"/>
      <c r="F137" s="671"/>
      <c r="G137" s="671"/>
    </row>
    <row r="138" spans="1:7" x14ac:dyDescent="0.25">
      <c r="A138" s="671"/>
      <c r="B138" s="671"/>
      <c r="C138" s="671"/>
      <c r="D138" s="671"/>
      <c r="F138" s="671"/>
      <c r="G138" s="671"/>
    </row>
    <row r="139" spans="1:7" x14ac:dyDescent="0.25">
      <c r="A139" s="671"/>
      <c r="B139" s="671"/>
      <c r="C139" s="671"/>
      <c r="D139" s="671"/>
      <c r="F139" s="671"/>
      <c r="G139" s="671"/>
    </row>
    <row r="140" spans="1:7" x14ac:dyDescent="0.25">
      <c r="A140" s="671"/>
      <c r="B140" s="671"/>
      <c r="C140" s="671"/>
      <c r="D140" s="671"/>
      <c r="F140" s="671"/>
      <c r="G140" s="671"/>
    </row>
    <row r="141" spans="1:7" x14ac:dyDescent="0.25">
      <c r="A141" s="671"/>
      <c r="B141" s="671"/>
      <c r="C141" s="671"/>
      <c r="D141" s="671"/>
      <c r="F141" s="671"/>
      <c r="G141" s="671"/>
    </row>
    <row r="142" spans="1:7" x14ac:dyDescent="0.25">
      <c r="A142" s="671"/>
      <c r="B142" s="671"/>
      <c r="C142" s="671"/>
      <c r="D142" s="671"/>
      <c r="F142" s="671"/>
      <c r="G142" s="671"/>
    </row>
    <row r="143" spans="1:7" x14ac:dyDescent="0.25">
      <c r="A143" s="671"/>
      <c r="B143" s="671"/>
      <c r="C143" s="671"/>
      <c r="D143" s="671"/>
      <c r="F143" s="671"/>
      <c r="G143" s="671"/>
    </row>
    <row r="144" spans="1:7" x14ac:dyDescent="0.25">
      <c r="A144" s="671"/>
      <c r="B144" s="671"/>
      <c r="C144" s="671"/>
      <c r="D144" s="671"/>
      <c r="F144" s="671"/>
      <c r="G144" s="671"/>
    </row>
    <row r="145" spans="1:7" x14ac:dyDescent="0.25">
      <c r="A145" s="671"/>
      <c r="B145" s="671"/>
      <c r="C145" s="671"/>
      <c r="D145" s="671"/>
      <c r="F145" s="671"/>
      <c r="G145" s="671"/>
    </row>
    <row r="146" spans="1:7" x14ac:dyDescent="0.25">
      <c r="A146" s="671"/>
      <c r="B146" s="671"/>
      <c r="C146" s="671"/>
      <c r="D146" s="671"/>
      <c r="F146" s="671"/>
      <c r="G146" s="671"/>
    </row>
  </sheetData>
  <mergeCells count="8">
    <mergeCell ref="A28:D28"/>
    <mergeCell ref="A1:G1"/>
    <mergeCell ref="A2:D2"/>
    <mergeCell ref="A27:G27"/>
    <mergeCell ref="A3:D3"/>
    <mergeCell ref="A4:D4"/>
    <mergeCell ref="A6:D6"/>
    <mergeCell ref="A7:D7"/>
  </mergeCells>
  <pageMargins left="0.7" right="0.7" top="0.75" bottom="0.75" header="0.3" footer="0.3"/>
  <pageSetup scale="70" orientation="landscape" verticalDpi="1200" r:id="rId1"/>
  <headerFooter>
    <oddHeader>&amp;R&amp;10TO8 Annual Update (Revised)
Attachment 2
&amp;9WP‐Schedule 7-2011 Plant Study&amp;10
Page &amp;P of &amp;N</oddHeader>
    <oddFooter>&amp;C&amp;A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N44"/>
  <sheetViews>
    <sheetView zoomScaleNormal="100" workbookViewId="0">
      <selection activeCell="A7" sqref="A7:G7"/>
    </sheetView>
  </sheetViews>
  <sheetFormatPr defaultRowHeight="15" x14ac:dyDescent="0.25"/>
  <cols>
    <col min="1" max="2" width="9.140625" style="123"/>
    <col min="3" max="3" width="36.140625" style="123" customWidth="1"/>
    <col min="4" max="4" width="13.140625" style="123" customWidth="1"/>
    <col min="5" max="16384" width="9.140625" style="123"/>
  </cols>
  <sheetData>
    <row r="1" spans="1:14" x14ac:dyDescent="0.25">
      <c r="A1" s="122" t="s">
        <v>1722</v>
      </c>
    </row>
    <row r="3" spans="1:14" x14ac:dyDescent="0.25">
      <c r="A3" s="791" t="s">
        <v>2249</v>
      </c>
      <c r="B3" s="791"/>
      <c r="C3" s="791"/>
      <c r="D3" s="791"/>
      <c r="E3" s="791"/>
      <c r="F3" s="791"/>
      <c r="G3" s="791"/>
      <c r="H3" s="791"/>
      <c r="I3" s="791"/>
      <c r="J3" s="791"/>
      <c r="K3" s="791"/>
      <c r="L3" s="791"/>
      <c r="M3" s="791"/>
      <c r="N3" s="791"/>
    </row>
    <row r="4" spans="1:14" x14ac:dyDescent="0.25">
      <c r="A4" s="791"/>
      <c r="B4" s="791"/>
      <c r="C4" s="791"/>
      <c r="D4" s="791"/>
      <c r="E4" s="791"/>
      <c r="F4" s="791"/>
      <c r="G4" s="791"/>
      <c r="H4" s="791"/>
      <c r="I4" s="791"/>
      <c r="J4" s="791"/>
      <c r="K4" s="791"/>
      <c r="L4" s="791"/>
      <c r="M4" s="791"/>
      <c r="N4" s="791"/>
    </row>
    <row r="5" spans="1:14" x14ac:dyDescent="0.25">
      <c r="A5" s="122" t="s">
        <v>1294</v>
      </c>
    </row>
    <row r="6" spans="1:14" ht="15" customHeight="1" x14ac:dyDescent="0.25">
      <c r="A6" s="485"/>
      <c r="B6" s="485"/>
      <c r="C6" s="485"/>
      <c r="D6" s="485"/>
      <c r="E6" s="485"/>
      <c r="F6" s="485"/>
      <c r="G6" s="485"/>
      <c r="H6" s="485"/>
      <c r="I6" s="485"/>
      <c r="J6" s="485"/>
      <c r="K6" s="485"/>
      <c r="L6" s="485"/>
      <c r="M6" s="485"/>
      <c r="N6" s="485"/>
    </row>
    <row r="7" spans="1:14" ht="122.45" customHeight="1" x14ac:dyDescent="0.25">
      <c r="A7" s="791" t="s">
        <v>3337</v>
      </c>
      <c r="B7" s="791"/>
      <c r="C7" s="791"/>
      <c r="D7" s="791"/>
      <c r="E7" s="791"/>
      <c r="F7" s="791"/>
      <c r="G7" s="791"/>
      <c r="H7" s="485"/>
      <c r="I7" s="485"/>
      <c r="J7" s="485"/>
      <c r="K7" s="485"/>
      <c r="L7" s="485"/>
      <c r="M7" s="485"/>
      <c r="N7" s="485"/>
    </row>
    <row r="9" spans="1:14" x14ac:dyDescent="0.25">
      <c r="A9" s="122" t="s">
        <v>1295</v>
      </c>
    </row>
    <row r="10" spans="1:14" x14ac:dyDescent="0.25">
      <c r="A10" s="122"/>
    </row>
    <row r="11" spans="1:14" ht="132" customHeight="1" x14ac:dyDescent="0.25">
      <c r="A11" s="791" t="s">
        <v>3338</v>
      </c>
      <c r="B11" s="791"/>
      <c r="C11" s="791"/>
      <c r="D11" s="791"/>
      <c r="E11" s="791"/>
      <c r="F11" s="791"/>
      <c r="G11" s="791"/>
    </row>
    <row r="12" spans="1:14" x14ac:dyDescent="0.25">
      <c r="A12" s="791"/>
      <c r="B12" s="791"/>
      <c r="C12" s="791"/>
      <c r="D12" s="791"/>
      <c r="E12" s="791"/>
      <c r="F12" s="791"/>
      <c r="G12" s="791"/>
      <c r="H12" s="791"/>
      <c r="I12" s="791"/>
      <c r="J12" s="791"/>
      <c r="K12" s="791"/>
      <c r="L12" s="791"/>
      <c r="M12" s="791"/>
      <c r="N12" s="791"/>
    </row>
    <row r="13" spans="1:14" ht="15.75" x14ac:dyDescent="0.25">
      <c r="B13" s="124" t="s">
        <v>3339</v>
      </c>
    </row>
    <row r="14" spans="1:14" ht="4.5" customHeight="1" x14ac:dyDescent="0.25">
      <c r="B14" s="124"/>
    </row>
    <row r="15" spans="1:14" x14ac:dyDescent="0.25">
      <c r="C15" s="125" t="s">
        <v>3341</v>
      </c>
      <c r="D15" s="123" t="str">
        <f t="shared" ref="D15:D36" si="0">LEFT(C15,4)</f>
        <v>2313</v>
      </c>
      <c r="E15" s="125" t="s">
        <v>3340</v>
      </c>
    </row>
    <row r="16" spans="1:14" x14ac:dyDescent="0.25">
      <c r="C16" s="125" t="s">
        <v>3321</v>
      </c>
      <c r="D16" s="123" t="str">
        <f t="shared" si="0"/>
        <v>5079</v>
      </c>
      <c r="E16" s="125" t="s">
        <v>3342</v>
      </c>
    </row>
    <row r="17" spans="3:5" x14ac:dyDescent="0.25">
      <c r="C17" s="125" t="s">
        <v>1289</v>
      </c>
      <c r="D17" s="123" t="str">
        <f t="shared" si="0"/>
        <v>5357</v>
      </c>
      <c r="E17" s="125" t="s">
        <v>3340</v>
      </c>
    </row>
    <row r="18" spans="3:5" x14ac:dyDescent="0.25">
      <c r="C18" s="125" t="s">
        <v>1291</v>
      </c>
      <c r="D18" s="123" t="str">
        <f t="shared" si="0"/>
        <v>5358</v>
      </c>
      <c r="E18" s="125" t="s">
        <v>3340</v>
      </c>
    </row>
    <row r="19" spans="3:5" x14ac:dyDescent="0.25">
      <c r="C19" s="125" t="s">
        <v>3326</v>
      </c>
      <c r="D19" s="123" t="str">
        <f t="shared" si="0"/>
        <v>5365</v>
      </c>
      <c r="E19" s="125" t="s">
        <v>3340</v>
      </c>
    </row>
    <row r="20" spans="3:5" x14ac:dyDescent="0.25">
      <c r="C20" s="125" t="s">
        <v>1284</v>
      </c>
      <c r="D20" s="123" t="str">
        <f t="shared" si="0"/>
        <v>5508</v>
      </c>
      <c r="E20" s="125" t="s">
        <v>3340</v>
      </c>
    </row>
    <row r="21" spans="3:5" x14ac:dyDescent="0.25">
      <c r="C21" s="125" t="s">
        <v>1285</v>
      </c>
      <c r="D21" s="123" t="str">
        <f t="shared" si="0"/>
        <v>5511</v>
      </c>
      <c r="E21" s="125" t="s">
        <v>3340</v>
      </c>
    </row>
    <row r="22" spans="3:5" x14ac:dyDescent="0.25">
      <c r="C22" s="125" t="s">
        <v>1290</v>
      </c>
      <c r="D22" s="123" t="str">
        <f t="shared" si="0"/>
        <v>5512</v>
      </c>
      <c r="E22" s="125" t="s">
        <v>3340</v>
      </c>
    </row>
    <row r="23" spans="3:5" x14ac:dyDescent="0.25">
      <c r="C23" s="125" t="s">
        <v>1283</v>
      </c>
      <c r="D23" s="123" t="str">
        <f t="shared" si="0"/>
        <v>5514</v>
      </c>
      <c r="E23" s="125" t="s">
        <v>3340</v>
      </c>
    </row>
    <row r="24" spans="3:5" x14ac:dyDescent="0.25">
      <c r="C24" s="125" t="s">
        <v>1278</v>
      </c>
      <c r="D24" s="123" t="str">
        <f t="shared" si="0"/>
        <v>5518</v>
      </c>
      <c r="E24" s="125" t="s">
        <v>3340</v>
      </c>
    </row>
    <row r="25" spans="3:5" x14ac:dyDescent="0.25">
      <c r="C25" s="125" t="s">
        <v>1279</v>
      </c>
      <c r="D25" s="123" t="str">
        <f t="shared" si="0"/>
        <v>5522</v>
      </c>
      <c r="E25" s="125" t="s">
        <v>3340</v>
      </c>
    </row>
    <row r="26" spans="3:5" x14ac:dyDescent="0.25">
      <c r="C26" s="125" t="s">
        <v>1282</v>
      </c>
      <c r="D26" s="123" t="str">
        <f t="shared" si="0"/>
        <v>5530</v>
      </c>
      <c r="E26" s="125" t="s">
        <v>3340</v>
      </c>
    </row>
    <row r="27" spans="3:5" x14ac:dyDescent="0.25">
      <c r="C27" s="125" t="s">
        <v>1275</v>
      </c>
      <c r="D27" s="123" t="str">
        <f t="shared" si="0"/>
        <v>5539</v>
      </c>
      <c r="E27" s="125" t="s">
        <v>3340</v>
      </c>
    </row>
    <row r="28" spans="3:5" x14ac:dyDescent="0.25">
      <c r="C28" s="125" t="s">
        <v>1287</v>
      </c>
      <c r="D28" s="123" t="str">
        <f t="shared" si="0"/>
        <v>5541</v>
      </c>
      <c r="E28" s="125" t="s">
        <v>3340</v>
      </c>
    </row>
    <row r="29" spans="3:5" x14ac:dyDescent="0.25">
      <c r="C29" s="125" t="s">
        <v>1281</v>
      </c>
      <c r="D29" s="123" t="str">
        <f t="shared" si="0"/>
        <v>5545</v>
      </c>
      <c r="E29" s="125" t="s">
        <v>3340</v>
      </c>
    </row>
    <row r="30" spans="3:5" x14ac:dyDescent="0.25">
      <c r="C30" s="125" t="s">
        <v>1286</v>
      </c>
      <c r="D30" s="123" t="str">
        <f t="shared" si="0"/>
        <v>5547</v>
      </c>
      <c r="E30" s="125" t="s">
        <v>3340</v>
      </c>
    </row>
    <row r="31" spans="3:5" x14ac:dyDescent="0.25">
      <c r="C31" s="125" t="s">
        <v>1280</v>
      </c>
      <c r="D31" s="123" t="str">
        <f t="shared" si="0"/>
        <v>5548</v>
      </c>
      <c r="E31" s="125" t="s">
        <v>3340</v>
      </c>
    </row>
    <row r="32" spans="3:5" x14ac:dyDescent="0.25">
      <c r="C32" s="125" t="s">
        <v>1288</v>
      </c>
      <c r="D32" s="123" t="str">
        <f t="shared" si="0"/>
        <v>5553</v>
      </c>
      <c r="E32" s="125" t="s">
        <v>3340</v>
      </c>
    </row>
    <row r="33" spans="1:7" x14ac:dyDescent="0.25">
      <c r="C33" s="125" t="s">
        <v>1277</v>
      </c>
      <c r="D33" s="123" t="str">
        <f t="shared" si="0"/>
        <v>5564</v>
      </c>
      <c r="E33" s="125" t="s">
        <v>3340</v>
      </c>
    </row>
    <row r="34" spans="1:7" ht="14.45" customHeight="1" x14ac:dyDescent="0.25">
      <c r="C34" s="125" t="s">
        <v>1292</v>
      </c>
      <c r="D34" s="123" t="str">
        <f t="shared" si="0"/>
        <v>5566</v>
      </c>
      <c r="E34" s="125" t="s">
        <v>3340</v>
      </c>
    </row>
    <row r="35" spans="1:7" x14ac:dyDescent="0.25">
      <c r="C35" s="125" t="s">
        <v>1276</v>
      </c>
      <c r="D35" s="123" t="str">
        <f t="shared" si="0"/>
        <v>5599</v>
      </c>
      <c r="E35" s="125" t="s">
        <v>3340</v>
      </c>
    </row>
    <row r="36" spans="1:7" x14ac:dyDescent="0.25">
      <c r="C36" s="125" t="s">
        <v>1293</v>
      </c>
      <c r="D36" s="123" t="str">
        <f t="shared" si="0"/>
        <v>8504</v>
      </c>
      <c r="E36" s="125" t="s">
        <v>3340</v>
      </c>
    </row>
    <row r="37" spans="1:7" x14ac:dyDescent="0.25">
      <c r="C37" s="125"/>
      <c r="E37" s="125"/>
    </row>
    <row r="38" spans="1:7" x14ac:dyDescent="0.25">
      <c r="A38" s="122" t="s">
        <v>1296</v>
      </c>
    </row>
    <row r="39" spans="1:7" x14ac:dyDescent="0.25">
      <c r="A39" s="122"/>
    </row>
    <row r="40" spans="1:7" ht="77.45" customHeight="1" x14ac:dyDescent="0.25">
      <c r="A40" s="791" t="s">
        <v>3348</v>
      </c>
      <c r="B40" s="791"/>
      <c r="C40" s="791"/>
      <c r="D40" s="791"/>
      <c r="E40" s="791"/>
      <c r="F40" s="791"/>
      <c r="G40" s="791"/>
    </row>
    <row r="42" spans="1:7" x14ac:dyDescent="0.25">
      <c r="A42" s="122" t="s">
        <v>3343</v>
      </c>
    </row>
    <row r="44" spans="1:7" ht="87.6" customHeight="1" x14ac:dyDescent="0.25">
      <c r="A44" s="791" t="s">
        <v>3344</v>
      </c>
      <c r="B44" s="791"/>
      <c r="C44" s="791"/>
      <c r="D44" s="791"/>
      <c r="E44" s="791"/>
      <c r="F44" s="791"/>
      <c r="G44" s="791"/>
    </row>
  </sheetData>
  <mergeCells count="6">
    <mergeCell ref="A44:G44"/>
    <mergeCell ref="A3:N4"/>
    <mergeCell ref="A7:G7"/>
    <mergeCell ref="A11:G11"/>
    <mergeCell ref="A12:N12"/>
    <mergeCell ref="A40:G40"/>
  </mergeCells>
  <printOptions horizontalCentered="1"/>
  <pageMargins left="0.7" right="0.7" top="0.75" bottom="0.75" header="0.3" footer="0.3"/>
  <pageSetup scale="69" orientation="portrait" r:id="rId1"/>
  <headerFooter>
    <oddHeader>&amp;R&amp;10TO8 Annual Update (Revised)&amp;11
&amp;10Attachment 2
&amp;9WP‐Schedule 7-2011 Plant Study&amp;10
Page &amp;P of &amp;N</oddHeader>
    <oddFooter>&amp;C&amp;A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W487"/>
  <sheetViews>
    <sheetView showGridLines="0" zoomScale="80" zoomScaleNormal="80" zoomScaleSheetLayoutView="70" workbookViewId="0">
      <selection activeCell="F2" sqref="F2:J2"/>
    </sheetView>
  </sheetViews>
  <sheetFormatPr defaultRowHeight="12.75" outlineLevelRow="1" x14ac:dyDescent="0.2"/>
  <cols>
    <col min="1" max="1" width="29.85546875" style="387" customWidth="1"/>
    <col min="2" max="2" width="11.140625" style="403" bestFit="1" customWidth="1"/>
    <col min="3" max="3" width="15.7109375" style="403" customWidth="1"/>
    <col min="4" max="4" width="14.28515625" style="421" bestFit="1" customWidth="1"/>
    <col min="5" max="5" width="18.85546875" style="421" customWidth="1"/>
    <col min="6" max="6" width="16.140625" style="421" customWidth="1"/>
    <col min="7" max="7" width="15.7109375" style="436" customWidth="1"/>
    <col min="8" max="8" width="16.85546875" style="387" customWidth="1"/>
    <col min="9" max="9" width="14.7109375" style="387" customWidth="1"/>
    <col min="10" max="10" width="15.5703125" style="387" customWidth="1"/>
    <col min="11" max="12" width="14.7109375" style="387" customWidth="1"/>
    <col min="13" max="13" width="15.28515625" style="387" customWidth="1"/>
    <col min="14" max="14" width="15.28515625" style="403" hidden="1" customWidth="1"/>
    <col min="15" max="15" width="16.7109375" style="387" hidden="1" customWidth="1"/>
    <col min="16" max="16" width="10.42578125" style="403" hidden="1" customWidth="1"/>
    <col min="17" max="17" width="13" style="403" hidden="1" customWidth="1"/>
    <col min="18" max="18" width="7.140625" style="387" hidden="1" customWidth="1"/>
    <col min="19" max="19" width="16.28515625" style="387" hidden="1" customWidth="1"/>
    <col min="20" max="20" width="15.28515625" style="387" hidden="1" customWidth="1"/>
    <col min="21" max="23" width="9.140625" style="387" hidden="1" customWidth="1"/>
    <col min="24" max="16384" width="9.140625" style="387"/>
  </cols>
  <sheetData>
    <row r="1" spans="1:23" s="77" customFormat="1" ht="19.5" customHeight="1" outlineLevel="1" x14ac:dyDescent="0.3">
      <c r="A1" s="384" t="s">
        <v>1429</v>
      </c>
      <c r="B1" s="385"/>
      <c r="C1" s="385"/>
      <c r="D1" s="390"/>
      <c r="E1" s="390"/>
      <c r="F1" s="390"/>
      <c r="G1" s="526"/>
      <c r="H1" s="386"/>
      <c r="I1" s="387"/>
      <c r="J1" s="387"/>
      <c r="N1" s="388"/>
      <c r="P1" s="388"/>
      <c r="Q1" s="388"/>
    </row>
    <row r="2" spans="1:23" s="77" customFormat="1" ht="16.5" customHeight="1" outlineLevel="1" x14ac:dyDescent="0.25">
      <c r="A2" s="389" t="s">
        <v>1716</v>
      </c>
      <c r="B2" s="385"/>
      <c r="C2" s="385"/>
      <c r="D2" s="390"/>
      <c r="E2" s="390"/>
      <c r="F2" s="390"/>
      <c r="G2" s="526"/>
      <c r="H2" s="386"/>
      <c r="I2" s="387"/>
      <c r="J2" s="387"/>
      <c r="N2" s="388"/>
      <c r="P2" s="388"/>
      <c r="Q2" s="388"/>
    </row>
    <row r="3" spans="1:23" s="77" customFormat="1" ht="16.5" customHeight="1" outlineLevel="1" x14ac:dyDescent="0.25">
      <c r="A3" s="389" t="s">
        <v>992</v>
      </c>
      <c r="B3" s="385"/>
      <c r="C3" s="385"/>
      <c r="D3" s="390"/>
      <c r="E3" s="390"/>
      <c r="F3" s="390"/>
      <c r="G3" s="526"/>
      <c r="H3" s="386"/>
      <c r="I3" s="387"/>
      <c r="J3" s="387"/>
      <c r="N3" s="388"/>
      <c r="P3" s="388"/>
      <c r="Q3" s="388"/>
    </row>
    <row r="4" spans="1:23" s="77" customFormat="1" ht="4.5" customHeight="1" outlineLevel="1" x14ac:dyDescent="0.2">
      <c r="A4" s="391"/>
      <c r="B4" s="385"/>
      <c r="C4" s="385"/>
      <c r="D4" s="390"/>
      <c r="E4" s="390"/>
      <c r="F4" s="390"/>
      <c r="G4" s="526"/>
      <c r="H4" s="386"/>
      <c r="I4" s="387"/>
      <c r="J4" s="387"/>
      <c r="N4" s="388"/>
      <c r="P4" s="388"/>
      <c r="Q4" s="388"/>
    </row>
    <row r="5" spans="1:23" s="77" customFormat="1" ht="4.5" customHeight="1" outlineLevel="1" thickBot="1" x14ac:dyDescent="0.25">
      <c r="A5" s="392"/>
      <c r="B5" s="393"/>
      <c r="C5" s="393"/>
      <c r="D5" s="394"/>
      <c r="E5" s="395"/>
      <c r="F5" s="395"/>
      <c r="G5" s="525"/>
      <c r="H5" s="386"/>
      <c r="I5" s="387"/>
      <c r="J5" s="387"/>
      <c r="N5" s="388"/>
      <c r="P5" s="388"/>
      <c r="Q5" s="388"/>
    </row>
    <row r="6" spans="1:23" s="77" customFormat="1" ht="26.25" customHeight="1" thickBot="1" x14ac:dyDescent="0.3">
      <c r="A6" s="550"/>
      <c r="B6" s="794" t="s">
        <v>1448</v>
      </c>
      <c r="C6" s="551"/>
      <c r="D6" s="544"/>
      <c r="E6" s="543" t="s">
        <v>993</v>
      </c>
      <c r="F6" s="543"/>
      <c r="G6" s="542"/>
      <c r="H6" s="552"/>
      <c r="I6" s="553" t="s">
        <v>3324</v>
      </c>
      <c r="J6" s="554"/>
      <c r="K6" s="555"/>
      <c r="L6" s="556" t="s">
        <v>117</v>
      </c>
      <c r="M6" s="557"/>
      <c r="N6" s="431"/>
      <c r="O6" s="430"/>
      <c r="P6" s="432"/>
      <c r="Q6" s="432"/>
      <c r="W6" s="388" t="s">
        <v>1506</v>
      </c>
    </row>
    <row r="7" spans="1:23" s="396" customFormat="1" ht="18.75" customHeight="1" thickBot="1" x14ac:dyDescent="0.25">
      <c r="A7" s="558" t="s">
        <v>1430</v>
      </c>
      <c r="B7" s="795"/>
      <c r="C7" s="559"/>
      <c r="D7" s="541" t="s">
        <v>994</v>
      </c>
      <c r="E7" s="540" t="s">
        <v>995</v>
      </c>
      <c r="F7" s="539" t="s">
        <v>996</v>
      </c>
      <c r="G7" s="538" t="s">
        <v>997</v>
      </c>
      <c r="H7" s="537" t="s">
        <v>994</v>
      </c>
      <c r="I7" s="536" t="s">
        <v>995</v>
      </c>
      <c r="J7" s="535" t="s">
        <v>996</v>
      </c>
      <c r="K7" s="537" t="s">
        <v>994</v>
      </c>
      <c r="L7" s="534" t="s">
        <v>995</v>
      </c>
      <c r="M7" s="535" t="s">
        <v>996</v>
      </c>
      <c r="N7" s="432"/>
      <c r="O7" s="433"/>
      <c r="P7" s="432"/>
      <c r="Q7" s="432"/>
    </row>
    <row r="8" spans="1:23" s="156" customFormat="1" ht="33.75" customHeight="1" thickBot="1" x14ac:dyDescent="0.3">
      <c r="A8" s="560"/>
      <c r="B8" s="796"/>
      <c r="C8" s="561" t="s">
        <v>1468</v>
      </c>
      <c r="D8" s="533" t="s">
        <v>1446</v>
      </c>
      <c r="E8" s="532" t="s">
        <v>1460</v>
      </c>
      <c r="F8" s="531" t="s">
        <v>1461</v>
      </c>
      <c r="G8" s="530" t="s">
        <v>1462</v>
      </c>
      <c r="H8" s="529" t="s">
        <v>1446</v>
      </c>
      <c r="I8" s="528" t="s">
        <v>1460</v>
      </c>
      <c r="J8" s="527" t="s">
        <v>1461</v>
      </c>
      <c r="K8" s="529" t="s">
        <v>1446</v>
      </c>
      <c r="L8" s="528" t="s">
        <v>1460</v>
      </c>
      <c r="M8" s="527" t="s">
        <v>1461</v>
      </c>
      <c r="N8" s="473" t="s">
        <v>3310</v>
      </c>
      <c r="O8" s="472" t="s">
        <v>1724</v>
      </c>
      <c r="P8" s="434" t="s">
        <v>110</v>
      </c>
      <c r="Q8" s="434" t="s">
        <v>111</v>
      </c>
      <c r="S8" s="155" t="s">
        <v>114</v>
      </c>
      <c r="T8" s="155" t="s">
        <v>115</v>
      </c>
    </row>
    <row r="9" spans="1:23" s="492" customFormat="1" ht="10.5" customHeight="1" x14ac:dyDescent="0.25">
      <c r="A9" s="486"/>
      <c r="B9" s="487"/>
      <c r="C9" s="488"/>
      <c r="D9" s="489"/>
      <c r="E9" s="489"/>
      <c r="F9" s="489"/>
      <c r="G9" s="490"/>
      <c r="H9" s="491"/>
      <c r="I9" s="491"/>
      <c r="J9" s="491"/>
      <c r="K9" s="491"/>
      <c r="L9" s="491"/>
      <c r="M9" s="491"/>
      <c r="N9" s="397"/>
      <c r="O9" s="37"/>
      <c r="P9" s="397"/>
      <c r="Q9" s="397"/>
      <c r="S9" s="397"/>
      <c r="T9" s="397"/>
    </row>
    <row r="10" spans="1:23" ht="12.75" customHeight="1" x14ac:dyDescent="0.2">
      <c r="A10" s="386" t="s">
        <v>1811</v>
      </c>
      <c r="B10" s="398" t="s">
        <v>1035</v>
      </c>
      <c r="C10" s="398" t="s">
        <v>3330</v>
      </c>
      <c r="D10" s="399">
        <v>0</v>
      </c>
      <c r="E10" s="399">
        <v>168580.15999999997</v>
      </c>
      <c r="F10" s="399">
        <v>9518339.1199999992</v>
      </c>
      <c r="G10" s="524">
        <f t="shared" ref="G10:G73" si="0">SUM(D10:F10)</f>
        <v>9686919.2799999993</v>
      </c>
      <c r="H10" s="400">
        <f t="shared" ref="H10:H35" si="1">D10</f>
        <v>0</v>
      </c>
      <c r="I10" s="400">
        <f t="shared" ref="I10:I35" si="2">E10</f>
        <v>168580.15999999997</v>
      </c>
      <c r="J10" s="400">
        <f t="shared" ref="J10:J35" si="3">F10</f>
        <v>9518339.1199999992</v>
      </c>
      <c r="K10" s="400"/>
      <c r="L10" s="400"/>
      <c r="M10" s="400"/>
      <c r="N10" s="398" t="s">
        <v>3308</v>
      </c>
      <c r="O10" s="398" t="s">
        <v>1476</v>
      </c>
      <c r="P10" s="403">
        <f>SUMIF('Antelope Bailey Split BA'!$B$7:$B$29,B10,'Antelope Bailey Split BA'!$C$7:$C$29)</f>
        <v>0</v>
      </c>
      <c r="Q10" s="403" t="str">
        <f>IF(AND(P10=1,'Plant Total by Account'!$H$1=2),"EKWRA","")</f>
        <v/>
      </c>
      <c r="S10" s="403">
        <f>SUMIF('ISO w_System Splits'!$D$524:$D$615,B10,'ISO w_System Splits'!$P$524:$P$615)</f>
        <v>0</v>
      </c>
      <c r="T10" s="403" t="str">
        <f>IF(AND(S10&lt;&gt;0,'Plant Total by Account'!$H$1=2),"EKWRA TL Change","")</f>
        <v/>
      </c>
      <c r="V10" s="77">
        <v>1320</v>
      </c>
      <c r="W10" s="404">
        <f t="shared" ref="W10:W73" si="4">E:E-I:I-L:L</f>
        <v>0</v>
      </c>
    </row>
    <row r="11" spans="1:23" ht="12.75" customHeight="1" x14ac:dyDescent="0.2">
      <c r="A11" s="386" t="s">
        <v>2301</v>
      </c>
      <c r="B11" s="398" t="s">
        <v>154</v>
      </c>
      <c r="C11" s="398" t="s">
        <v>3329</v>
      </c>
      <c r="D11" s="399">
        <v>0</v>
      </c>
      <c r="E11" s="399">
        <v>287755.15999999997</v>
      </c>
      <c r="F11" s="399">
        <v>4196329.03</v>
      </c>
      <c r="G11" s="524">
        <f t="shared" si="0"/>
        <v>4484084.1900000004</v>
      </c>
      <c r="H11" s="405">
        <f t="shared" si="1"/>
        <v>0</v>
      </c>
      <c r="I11" s="405">
        <f t="shared" si="2"/>
        <v>287755.15999999997</v>
      </c>
      <c r="J11" s="405">
        <f t="shared" si="3"/>
        <v>4196329.03</v>
      </c>
      <c r="K11" s="406"/>
      <c r="L11" s="406"/>
      <c r="M11" s="406"/>
      <c r="N11" s="398" t="s">
        <v>3308</v>
      </c>
      <c r="O11" s="398" t="s">
        <v>1477</v>
      </c>
      <c r="P11" s="403">
        <f>SUMIF('Antelope Bailey Split BA'!$B$7:$B$29,B11,'Antelope Bailey Split BA'!$C$7:$C$29)</f>
        <v>0</v>
      </c>
      <c r="Q11" s="403" t="str">
        <f>IF(AND(P11=1,'Plant Total by Account'!$H$1=2),"EKWRA","")</f>
        <v/>
      </c>
      <c r="S11" s="403">
        <f>SUMIF('ISO w_System Splits'!$D$524:$D$615,B11,'ISO w_System Splits'!$P$524:$P$615)</f>
        <v>0</v>
      </c>
      <c r="T11" s="403" t="str">
        <f>IF(AND(S11&lt;&gt;0,'Plant Total by Account'!$H$1=2),"EKWRA TL Change","")</f>
        <v/>
      </c>
      <c r="V11" s="77">
        <v>2570</v>
      </c>
      <c r="W11" s="404">
        <f t="shared" si="4"/>
        <v>0</v>
      </c>
    </row>
    <row r="12" spans="1:23" ht="12.75" customHeight="1" x14ac:dyDescent="0.2">
      <c r="A12" s="386" t="s">
        <v>2329</v>
      </c>
      <c r="B12" s="398" t="s">
        <v>1112</v>
      </c>
      <c r="C12" s="398" t="s">
        <v>3330</v>
      </c>
      <c r="D12" s="399">
        <v>0</v>
      </c>
      <c r="E12" s="399">
        <v>0</v>
      </c>
      <c r="F12" s="399">
        <v>10684163.720000001</v>
      </c>
      <c r="G12" s="524">
        <f t="shared" si="0"/>
        <v>10684163.720000001</v>
      </c>
      <c r="H12" s="405">
        <f t="shared" si="1"/>
        <v>0</v>
      </c>
      <c r="I12" s="405">
        <f t="shared" si="2"/>
        <v>0</v>
      </c>
      <c r="J12" s="405">
        <f t="shared" si="3"/>
        <v>10684163.720000001</v>
      </c>
      <c r="K12" s="406"/>
      <c r="L12" s="407"/>
      <c r="M12" s="407"/>
      <c r="N12" s="398" t="s">
        <v>3308</v>
      </c>
      <c r="O12" s="398" t="s">
        <v>1476</v>
      </c>
      <c r="P12" s="403">
        <f>SUMIF('Antelope Bailey Split BA'!$B$7:$B$29,B12,'Antelope Bailey Split BA'!$C$7:$C$29)</f>
        <v>0</v>
      </c>
      <c r="Q12" s="403" t="str">
        <f>IF(AND(P12=1,'Plant Total by Account'!$H$1=2),"EKWRA","")</f>
        <v/>
      </c>
      <c r="S12" s="403">
        <f>SUMIF('ISO w_System Splits'!$D$524:$D$615,B12,'ISO w_System Splits'!$P$524:$P$615)</f>
        <v>0</v>
      </c>
      <c r="T12" s="403" t="str">
        <f>IF(AND(S12&lt;&gt;0,'Plant Total by Account'!$H$1=2),"EKWRA TL Change","")</f>
        <v/>
      </c>
      <c r="V12" s="77">
        <v>5001</v>
      </c>
      <c r="W12" s="404">
        <f t="shared" si="4"/>
        <v>0</v>
      </c>
    </row>
    <row r="13" spans="1:23" ht="12.75" customHeight="1" x14ac:dyDescent="0.2">
      <c r="A13" s="386" t="s">
        <v>2336</v>
      </c>
      <c r="B13" s="398" t="s">
        <v>1118</v>
      </c>
      <c r="C13" s="398" t="s">
        <v>3331</v>
      </c>
      <c r="D13" s="399">
        <v>0</v>
      </c>
      <c r="E13" s="399">
        <v>18729.02</v>
      </c>
      <c r="F13" s="399">
        <v>3340925.060000001</v>
      </c>
      <c r="G13" s="524">
        <f t="shared" si="0"/>
        <v>3359654.080000001</v>
      </c>
      <c r="H13" s="405">
        <f t="shared" si="1"/>
        <v>0</v>
      </c>
      <c r="I13" s="405">
        <f t="shared" si="2"/>
        <v>18729.02</v>
      </c>
      <c r="J13" s="405">
        <f t="shared" si="3"/>
        <v>3340925.060000001</v>
      </c>
      <c r="K13" s="406"/>
      <c r="L13" s="407"/>
      <c r="M13" s="407"/>
      <c r="N13" s="398" t="s">
        <v>3308</v>
      </c>
      <c r="O13" s="398" t="s">
        <v>1476</v>
      </c>
      <c r="P13" s="403">
        <f>SUMIF('Antelope Bailey Split BA'!$B$7:$B$29,B13,'Antelope Bailey Split BA'!$C$7:$C$29)</f>
        <v>0</v>
      </c>
      <c r="Q13" s="403" t="str">
        <f>IF(AND(P13=1,'Plant Total by Account'!$H$1=2),"EKWRA","")</f>
        <v/>
      </c>
      <c r="S13" s="403">
        <f>SUMIF('ISO w_System Splits'!$D$524:$D$615,B13,'ISO w_System Splits'!$P$524:$P$615)</f>
        <v>0</v>
      </c>
      <c r="T13" s="403" t="str">
        <f>IF(AND(S13&lt;&gt;0,'Plant Total by Account'!$H$1=2),"EKWRA TL Change","")</f>
        <v/>
      </c>
      <c r="V13" s="77">
        <v>5019</v>
      </c>
      <c r="W13" s="404">
        <f t="shared" si="4"/>
        <v>0</v>
      </c>
    </row>
    <row r="14" spans="1:23" ht="12.75" customHeight="1" x14ac:dyDescent="0.2">
      <c r="A14" s="386" t="s">
        <v>1887</v>
      </c>
      <c r="B14" s="398" t="s">
        <v>1350</v>
      </c>
      <c r="C14" s="398" t="s">
        <v>3331</v>
      </c>
      <c r="D14" s="399">
        <v>12469.81</v>
      </c>
      <c r="E14" s="399">
        <v>7552.09</v>
      </c>
      <c r="F14" s="399">
        <v>1159363.99</v>
      </c>
      <c r="G14" s="524">
        <f t="shared" si="0"/>
        <v>1179385.8899999999</v>
      </c>
      <c r="H14" s="400">
        <f>D14</f>
        <v>12469.81</v>
      </c>
      <c r="I14" s="400">
        <f>E14</f>
        <v>7552.09</v>
      </c>
      <c r="J14" s="400">
        <f>F14</f>
        <v>1159363.99</v>
      </c>
      <c r="K14" s="400"/>
      <c r="L14" s="400"/>
      <c r="M14" s="400"/>
      <c r="N14" s="398" t="s">
        <v>3308</v>
      </c>
      <c r="O14" s="398" t="s">
        <v>1476</v>
      </c>
      <c r="P14" s="403">
        <f>SUMIF('Antelope Bailey Split BA'!$B$7:$B$29,B14,'Antelope Bailey Split BA'!$C$7:$C$29)</f>
        <v>0</v>
      </c>
      <c r="Q14" s="403" t="str">
        <f>IF(AND(P14=1,'Plant Total by Account'!$H$1=2),"EKWRA","")</f>
        <v/>
      </c>
      <c r="S14" s="403">
        <f>SUMIF('ISO w_System Splits'!$D$524:$D$615,B14,'ISO w_System Splits'!$P$524:$P$615)</f>
        <v>0</v>
      </c>
      <c r="T14" s="403" t="str">
        <f>IF(AND(S14&lt;&gt;0,'Plant Total by Account'!$H$1=2),"EKWRA TL Change","")</f>
        <v/>
      </c>
      <c r="V14" s="77" t="s">
        <v>1350</v>
      </c>
      <c r="W14" s="404">
        <f t="shared" si="4"/>
        <v>0</v>
      </c>
    </row>
    <row r="15" spans="1:23" ht="12.75" customHeight="1" x14ac:dyDescent="0.2">
      <c r="A15" s="386" t="s">
        <v>2345</v>
      </c>
      <c r="B15" s="398" t="s">
        <v>1126</v>
      </c>
      <c r="C15" s="398" t="s">
        <v>3330</v>
      </c>
      <c r="D15" s="399">
        <v>0</v>
      </c>
      <c r="E15" s="399">
        <v>3615.73</v>
      </c>
      <c r="F15" s="399">
        <v>169990.17</v>
      </c>
      <c r="G15" s="524">
        <f t="shared" si="0"/>
        <v>173605.90000000002</v>
      </c>
      <c r="H15" s="405">
        <f t="shared" si="1"/>
        <v>0</v>
      </c>
      <c r="I15" s="405">
        <f t="shared" si="2"/>
        <v>3615.73</v>
      </c>
      <c r="J15" s="405">
        <f t="shared" si="3"/>
        <v>169990.17</v>
      </c>
      <c r="K15" s="406"/>
      <c r="L15" s="407"/>
      <c r="M15" s="407"/>
      <c r="N15" s="398" t="s">
        <v>3308</v>
      </c>
      <c r="O15" s="398" t="s">
        <v>1476</v>
      </c>
      <c r="P15" s="403">
        <f>SUMIF('Antelope Bailey Split BA'!$B$7:$B$29,B15,'Antelope Bailey Split BA'!$C$7:$C$29)</f>
        <v>0</v>
      </c>
      <c r="Q15" s="403" t="str">
        <f>IF(AND(P15=1,'Plant Total by Account'!$H$1=2),"EKWRA","")</f>
        <v/>
      </c>
      <c r="S15" s="403">
        <f>SUMIF('ISO w_System Splits'!$D$524:$D$615,B15,'ISO w_System Splits'!$P$524:$P$615)</f>
        <v>0</v>
      </c>
      <c r="T15" s="403" t="str">
        <f>IF(AND(S15&lt;&gt;0,'Plant Total by Account'!$H$1=2),"EKWRA TL Change","")</f>
        <v/>
      </c>
      <c r="V15" s="77">
        <v>5032</v>
      </c>
      <c r="W15" s="404">
        <f t="shared" si="4"/>
        <v>0</v>
      </c>
    </row>
    <row r="16" spans="1:23" ht="12.75" customHeight="1" x14ac:dyDescent="0.2">
      <c r="A16" s="386" t="s">
        <v>2349</v>
      </c>
      <c r="B16" s="398" t="s">
        <v>1129</v>
      </c>
      <c r="C16" s="398" t="s">
        <v>3331</v>
      </c>
      <c r="D16" s="399">
        <v>21435.440000000002</v>
      </c>
      <c r="E16" s="399">
        <v>262284.36</v>
      </c>
      <c r="F16" s="399">
        <v>6367297.2099999981</v>
      </c>
      <c r="G16" s="524">
        <f t="shared" si="0"/>
        <v>6651017.0099999979</v>
      </c>
      <c r="H16" s="400">
        <f>D16</f>
        <v>21435.440000000002</v>
      </c>
      <c r="I16" s="400">
        <f>E16</f>
        <v>262284.36</v>
      </c>
      <c r="J16" s="400">
        <f>F16</f>
        <v>6367297.2099999981</v>
      </c>
      <c r="K16" s="400"/>
      <c r="L16" s="400"/>
      <c r="M16" s="400"/>
      <c r="N16" s="398" t="s">
        <v>3308</v>
      </c>
      <c r="O16" s="398" t="s">
        <v>1476</v>
      </c>
      <c r="P16" s="403">
        <f>SUMIF('Antelope Bailey Split BA'!$B$7:$B$29,B16,'Antelope Bailey Split BA'!$C$7:$C$29)</f>
        <v>0</v>
      </c>
      <c r="Q16" s="403" t="str">
        <f>IF(AND(P16=1,'Plant Total by Account'!$H$1=2),"EKWRA","")</f>
        <v/>
      </c>
      <c r="S16" s="403">
        <f>SUMIF('ISO w_System Splits'!$D$524:$D$615,B16,'ISO w_System Splits'!$P$524:$P$615)</f>
        <v>0</v>
      </c>
      <c r="T16" s="403" t="str">
        <f>IF(AND(S16&lt;&gt;0,'Plant Total by Account'!$H$1=2),"EKWRA TL Change","")</f>
        <v/>
      </c>
      <c r="V16" s="77">
        <v>5036</v>
      </c>
      <c r="W16" s="404">
        <f t="shared" si="4"/>
        <v>0</v>
      </c>
    </row>
    <row r="17" spans="1:23" ht="12.75" customHeight="1" x14ac:dyDescent="0.2">
      <c r="A17" s="386" t="s">
        <v>2352</v>
      </c>
      <c r="B17" s="398" t="s">
        <v>1133</v>
      </c>
      <c r="C17" s="398" t="s">
        <v>3329</v>
      </c>
      <c r="D17" s="399">
        <v>0</v>
      </c>
      <c r="E17" s="399">
        <v>0</v>
      </c>
      <c r="F17" s="399">
        <v>1486719.9600000002</v>
      </c>
      <c r="G17" s="524">
        <f t="shared" si="0"/>
        <v>1486719.9600000002</v>
      </c>
      <c r="H17" s="405">
        <f t="shared" si="1"/>
        <v>0</v>
      </c>
      <c r="I17" s="405">
        <f t="shared" si="2"/>
        <v>0</v>
      </c>
      <c r="J17" s="405">
        <f t="shared" si="3"/>
        <v>1486719.9600000002</v>
      </c>
      <c r="K17" s="406"/>
      <c r="L17" s="407"/>
      <c r="M17" s="407"/>
      <c r="N17" s="398" t="s">
        <v>3308</v>
      </c>
      <c r="O17" s="398" t="s">
        <v>1477</v>
      </c>
      <c r="P17" s="403">
        <f>SUMIF('Antelope Bailey Split BA'!$B$7:$B$29,B17,'Antelope Bailey Split BA'!$C$7:$C$29)</f>
        <v>0</v>
      </c>
      <c r="Q17" s="403" t="str">
        <f>IF(AND(P17=1,'Plant Total by Account'!$H$1=2),"EKWRA","")</f>
        <v/>
      </c>
      <c r="S17" s="403">
        <f>SUMIF('ISO w_System Splits'!$D$524:$D$615,B17,'ISO w_System Splits'!$P$524:$P$615)</f>
        <v>0</v>
      </c>
      <c r="T17" s="403" t="str">
        <f>IF(AND(S17&lt;&gt;0,'Plant Total by Account'!$H$1=2),"EKWRA TL Change","")</f>
        <v/>
      </c>
      <c r="V17" s="77">
        <v>5044</v>
      </c>
      <c r="W17" s="404">
        <f t="shared" si="4"/>
        <v>0</v>
      </c>
    </row>
    <row r="18" spans="1:23" ht="12.75" customHeight="1" x14ac:dyDescent="0.2">
      <c r="A18" s="386" t="s">
        <v>2353</v>
      </c>
      <c r="B18" s="398" t="s">
        <v>1134</v>
      </c>
      <c r="C18" s="398" t="s">
        <v>3330</v>
      </c>
      <c r="D18" s="399">
        <v>0</v>
      </c>
      <c r="E18" s="399">
        <v>1191.08</v>
      </c>
      <c r="F18" s="399">
        <v>3479218.7399999998</v>
      </c>
      <c r="G18" s="524">
        <f t="shared" si="0"/>
        <v>3480409.82</v>
      </c>
      <c r="H18" s="400">
        <f t="shared" si="1"/>
        <v>0</v>
      </c>
      <c r="I18" s="400">
        <f t="shared" si="2"/>
        <v>1191.08</v>
      </c>
      <c r="J18" s="400">
        <f t="shared" si="3"/>
        <v>3479218.7399999998</v>
      </c>
      <c r="K18" s="400"/>
      <c r="L18" s="400"/>
      <c r="M18" s="400"/>
      <c r="N18" s="398" t="s">
        <v>3308</v>
      </c>
      <c r="O18" s="398" t="s">
        <v>1476</v>
      </c>
      <c r="P18" s="403">
        <f>SUMIF('Antelope Bailey Split BA'!$B$7:$B$29,B18,'Antelope Bailey Split BA'!$C$7:$C$29)</f>
        <v>0</v>
      </c>
      <c r="Q18" s="403" t="str">
        <f>IF(AND(P18=1,'Plant Total by Account'!$H$1=2),"EKWRA","")</f>
        <v/>
      </c>
      <c r="S18" s="403">
        <f>SUMIF('ISO w_System Splits'!$D$524:$D$615,B18,'ISO w_System Splits'!$P$524:$P$615)</f>
        <v>0</v>
      </c>
      <c r="T18" s="403" t="str">
        <f>IF(AND(S18&lt;&gt;0,'Plant Total by Account'!$H$1=2),"EKWRA TL Change","")</f>
        <v/>
      </c>
      <c r="V18" s="77">
        <v>5045</v>
      </c>
      <c r="W18" s="404">
        <f t="shared" si="4"/>
        <v>0</v>
      </c>
    </row>
    <row r="19" spans="1:23" ht="12.75" customHeight="1" x14ac:dyDescent="0.2">
      <c r="A19" s="386" t="s">
        <v>2355</v>
      </c>
      <c r="B19" s="398" t="s">
        <v>1136</v>
      </c>
      <c r="C19" s="398" t="s">
        <v>3330</v>
      </c>
      <c r="D19" s="399">
        <v>1844367.4200000002</v>
      </c>
      <c r="E19" s="399">
        <v>21704875.689999998</v>
      </c>
      <c r="F19" s="399">
        <v>153916858.96999997</v>
      </c>
      <c r="G19" s="524">
        <f t="shared" si="0"/>
        <v>177466102.07999998</v>
      </c>
      <c r="H19" s="405">
        <f t="shared" si="1"/>
        <v>1844367.4200000002</v>
      </c>
      <c r="I19" s="405">
        <f t="shared" si="2"/>
        <v>21704875.689999998</v>
      </c>
      <c r="J19" s="405">
        <f t="shared" si="3"/>
        <v>153916858.96999997</v>
      </c>
      <c r="K19" s="406"/>
      <c r="L19" s="407"/>
      <c r="M19" s="407"/>
      <c r="N19" s="398" t="s">
        <v>3308</v>
      </c>
      <c r="O19" s="398" t="s">
        <v>1476</v>
      </c>
      <c r="P19" s="403">
        <f>SUMIF('Antelope Bailey Split BA'!$B$7:$B$29,B19,'Antelope Bailey Split BA'!$C$7:$C$29)</f>
        <v>0</v>
      </c>
      <c r="Q19" s="403" t="str">
        <f>IF(AND(P19=1,'Plant Total by Account'!$H$1=2),"EKWRA","")</f>
        <v/>
      </c>
      <c r="S19" s="403">
        <f>SUMIF('ISO w_System Splits'!$D$524:$D$615,B19,'ISO w_System Splits'!$P$524:$P$615)</f>
        <v>0</v>
      </c>
      <c r="T19" s="403" t="str">
        <f>IF(AND(S19&lt;&gt;0,'Plant Total by Account'!$H$1=2),"EKWRA TL Change","")</f>
        <v/>
      </c>
      <c r="V19" s="77">
        <v>5047</v>
      </c>
      <c r="W19" s="404">
        <f t="shared" si="4"/>
        <v>0</v>
      </c>
    </row>
    <row r="20" spans="1:23" ht="12.75" customHeight="1" x14ac:dyDescent="0.2">
      <c r="A20" s="386" t="s">
        <v>2363</v>
      </c>
      <c r="B20" s="398" t="s">
        <v>1145</v>
      </c>
      <c r="C20" s="398" t="s">
        <v>3332</v>
      </c>
      <c r="D20" s="399">
        <v>0</v>
      </c>
      <c r="E20" s="399">
        <v>19757.18</v>
      </c>
      <c r="F20" s="399">
        <v>1802143.36</v>
      </c>
      <c r="G20" s="524">
        <f t="shared" si="0"/>
        <v>1821900.54</v>
      </c>
      <c r="H20" s="405">
        <f t="shared" si="1"/>
        <v>0</v>
      </c>
      <c r="I20" s="405">
        <f t="shared" si="2"/>
        <v>19757.18</v>
      </c>
      <c r="J20" s="405">
        <f t="shared" si="3"/>
        <v>1802143.36</v>
      </c>
      <c r="K20" s="406"/>
      <c r="L20" s="407"/>
      <c r="M20" s="407"/>
      <c r="N20" s="398" t="s">
        <v>3308</v>
      </c>
      <c r="O20" s="398" t="s">
        <v>1476</v>
      </c>
      <c r="P20" s="403">
        <f>SUMIF('Antelope Bailey Split BA'!$B$7:$B$29,B20,'Antelope Bailey Split BA'!$C$7:$C$29)</f>
        <v>0</v>
      </c>
      <c r="Q20" s="403" t="str">
        <f>IF(AND(P20=1,'Plant Total by Account'!$H$1=2),"EKWRA","")</f>
        <v/>
      </c>
      <c r="S20" s="403">
        <f>SUMIF('ISO w_System Splits'!$D$524:$D$615,B20,'ISO w_System Splits'!$P$524:$P$615)</f>
        <v>0</v>
      </c>
      <c r="T20" s="403" t="str">
        <f>IF(AND(S20&lt;&gt;0,'Plant Total by Account'!$H$1=2),"EKWRA TL Change","")</f>
        <v/>
      </c>
      <c r="V20" s="77">
        <v>5058</v>
      </c>
      <c r="W20" s="404">
        <f t="shared" si="4"/>
        <v>0</v>
      </c>
    </row>
    <row r="21" spans="1:23" ht="12.75" customHeight="1" x14ac:dyDescent="0.2">
      <c r="A21" s="386" t="s">
        <v>2366</v>
      </c>
      <c r="B21" s="398" t="s">
        <v>1147</v>
      </c>
      <c r="C21" s="398" t="s">
        <v>3330</v>
      </c>
      <c r="D21" s="399">
        <v>91031.39</v>
      </c>
      <c r="E21" s="399">
        <v>4315223.879999999</v>
      </c>
      <c r="F21" s="399">
        <v>119531650.51999992</v>
      </c>
      <c r="G21" s="524">
        <f t="shared" si="0"/>
        <v>123937905.78999992</v>
      </c>
      <c r="H21" s="405">
        <f t="shared" si="1"/>
        <v>91031.39</v>
      </c>
      <c r="I21" s="405">
        <f t="shared" si="2"/>
        <v>4315223.879999999</v>
      </c>
      <c r="J21" s="405">
        <f t="shared" si="3"/>
        <v>119531650.51999992</v>
      </c>
      <c r="K21" s="406"/>
      <c r="L21" s="407"/>
      <c r="M21" s="407"/>
      <c r="N21" s="398" t="s">
        <v>3308</v>
      </c>
      <c r="O21" s="398" t="s">
        <v>1476</v>
      </c>
      <c r="P21" s="403">
        <f>SUMIF('Antelope Bailey Split BA'!$B$7:$B$29,B21,'Antelope Bailey Split BA'!$C$7:$C$29)</f>
        <v>0</v>
      </c>
      <c r="Q21" s="403" t="str">
        <f>IF(AND(P21=1,'Plant Total by Account'!$H$1=2),"EKWRA","")</f>
        <v/>
      </c>
      <c r="S21" s="403">
        <f>SUMIF('ISO w_System Splits'!$D$524:$D$615,B21,'ISO w_System Splits'!$P$524:$P$615)</f>
        <v>0</v>
      </c>
      <c r="T21" s="403" t="str">
        <f>IF(AND(S21&lt;&gt;0,'Plant Total by Account'!$H$1=2),"EKWRA TL Change","")</f>
        <v/>
      </c>
      <c r="V21" s="77">
        <v>5061</v>
      </c>
      <c r="W21" s="404">
        <f t="shared" si="4"/>
        <v>0</v>
      </c>
    </row>
    <row r="22" spans="1:23" ht="12.75" customHeight="1" x14ac:dyDescent="0.2">
      <c r="A22" s="386" t="s">
        <v>2370</v>
      </c>
      <c r="B22" s="398" t="s">
        <v>1150</v>
      </c>
      <c r="C22" s="398" t="s">
        <v>3331</v>
      </c>
      <c r="D22" s="399">
        <v>0</v>
      </c>
      <c r="E22" s="399">
        <v>67311.10000000002</v>
      </c>
      <c r="F22" s="399">
        <v>2283001.44</v>
      </c>
      <c r="G22" s="524">
        <f t="shared" si="0"/>
        <v>2350312.54</v>
      </c>
      <c r="H22" s="405">
        <f t="shared" si="1"/>
        <v>0</v>
      </c>
      <c r="I22" s="405">
        <f t="shared" si="2"/>
        <v>67311.10000000002</v>
      </c>
      <c r="J22" s="405">
        <f t="shared" si="3"/>
        <v>2283001.44</v>
      </c>
      <c r="K22" s="406"/>
      <c r="L22" s="407"/>
      <c r="M22" s="407"/>
      <c r="N22" s="398" t="s">
        <v>3308</v>
      </c>
      <c r="O22" s="398" t="s">
        <v>1476</v>
      </c>
      <c r="P22" s="403">
        <f>SUMIF('Antelope Bailey Split BA'!$B$7:$B$29,B22,'Antelope Bailey Split BA'!$C$7:$C$29)</f>
        <v>0</v>
      </c>
      <c r="Q22" s="403" t="str">
        <f>IF(AND(P22=1,'Plant Total by Account'!$H$1=2),"EKWRA","")</f>
        <v/>
      </c>
      <c r="S22" s="403">
        <f>SUMIF('ISO w_System Splits'!$D$524:$D$615,B22,'ISO w_System Splits'!$P$524:$P$615)</f>
        <v>0</v>
      </c>
      <c r="T22" s="403" t="str">
        <f>IF(AND(S22&lt;&gt;0,'Plant Total by Account'!$H$1=2),"EKWRA TL Change","")</f>
        <v/>
      </c>
      <c r="V22" s="77">
        <v>5065</v>
      </c>
      <c r="W22" s="404">
        <f t="shared" si="4"/>
        <v>0</v>
      </c>
    </row>
    <row r="23" spans="1:23" ht="12.75" customHeight="1" x14ac:dyDescent="0.2">
      <c r="A23" s="386" t="s">
        <v>2381</v>
      </c>
      <c r="B23" s="398" t="s">
        <v>2237</v>
      </c>
      <c r="C23" s="398" t="s">
        <v>3331</v>
      </c>
      <c r="D23" s="399">
        <v>0</v>
      </c>
      <c r="E23" s="399">
        <v>8852776.0500000007</v>
      </c>
      <c r="F23" s="399">
        <v>22432416.148741487</v>
      </c>
      <c r="G23" s="524">
        <f>SUM(D23:F23)</f>
        <v>31285192.198741488</v>
      </c>
      <c r="H23" s="405">
        <f t="shared" si="1"/>
        <v>0</v>
      </c>
      <c r="I23" s="405">
        <f t="shared" si="2"/>
        <v>8852776.0500000007</v>
      </c>
      <c r="J23" s="405">
        <f t="shared" si="3"/>
        <v>22432416.148741487</v>
      </c>
      <c r="K23" s="406"/>
      <c r="L23" s="407"/>
      <c r="M23" s="407"/>
      <c r="N23" s="398" t="s">
        <v>3308</v>
      </c>
      <c r="O23" s="398" t="s">
        <v>1476</v>
      </c>
      <c r="P23" s="403">
        <f>SUMIF('Antelope Bailey Split BA'!$B$7:$B$29,B23,'Antelope Bailey Split BA'!$C$7:$C$29)</f>
        <v>0</v>
      </c>
      <c r="Q23" s="403" t="str">
        <f>IF(AND(P23=1,'Plant Total by Account'!$H$1=2),"EKWRA","")</f>
        <v/>
      </c>
      <c r="S23" s="403">
        <f>SUMIF('ISO w_System Splits'!$D$524:$D$615,B23,'ISO w_System Splits'!$P$524:$P$615)</f>
        <v>0</v>
      </c>
      <c r="T23" s="403" t="str">
        <f>IF(AND(S23&lt;&gt;0,'Plant Total by Account'!$H$1=2),"EKWRA TL Change","")</f>
        <v/>
      </c>
      <c r="V23" s="77">
        <v>5079</v>
      </c>
      <c r="W23" s="404">
        <f t="shared" si="4"/>
        <v>0</v>
      </c>
    </row>
    <row r="24" spans="1:23" ht="12.75" customHeight="1" x14ac:dyDescent="0.2">
      <c r="A24" s="386" t="s">
        <v>97</v>
      </c>
      <c r="B24" s="398" t="s">
        <v>1159</v>
      </c>
      <c r="C24" s="398" t="s">
        <v>3330</v>
      </c>
      <c r="D24" s="399">
        <v>1226474.6499999999</v>
      </c>
      <c r="E24" s="399">
        <v>15498110.569999998</v>
      </c>
      <c r="F24" s="399">
        <v>159478455.36999986</v>
      </c>
      <c r="G24" s="524">
        <f t="shared" si="0"/>
        <v>176203040.58999985</v>
      </c>
      <c r="H24" s="405">
        <f t="shared" si="1"/>
        <v>1226474.6499999999</v>
      </c>
      <c r="I24" s="405">
        <f t="shared" si="2"/>
        <v>15498110.569999998</v>
      </c>
      <c r="J24" s="405">
        <f t="shared" si="3"/>
        <v>159478455.36999986</v>
      </c>
      <c r="K24" s="406"/>
      <c r="L24" s="406"/>
      <c r="M24" s="406"/>
      <c r="N24" s="398" t="s">
        <v>3308</v>
      </c>
      <c r="O24" s="398" t="s">
        <v>1476</v>
      </c>
      <c r="P24" s="403">
        <f>SUMIF('Antelope Bailey Split BA'!$B$7:$B$29,B24,'Antelope Bailey Split BA'!$C$7:$C$29)</f>
        <v>0</v>
      </c>
      <c r="Q24" s="403" t="str">
        <f>IF(AND(P24=1,'Plant Total by Account'!$H$1=2),"EKWRA","")</f>
        <v/>
      </c>
      <c r="S24" s="403">
        <f>SUMIF('ISO w_System Splits'!$D$524:$D$615,B24,'ISO w_System Splits'!$P$524:$P$615)</f>
        <v>0</v>
      </c>
      <c r="T24" s="403" t="str">
        <f>IF(AND(S24&lt;&gt;0,'Plant Total by Account'!$H$1=2),"EKWRA TL Change","")</f>
        <v/>
      </c>
      <c r="V24" s="77">
        <v>5080</v>
      </c>
      <c r="W24" s="404">
        <f t="shared" si="4"/>
        <v>0</v>
      </c>
    </row>
    <row r="25" spans="1:23" ht="12.75" customHeight="1" x14ac:dyDescent="0.2">
      <c r="A25" s="386" t="s">
        <v>2389</v>
      </c>
      <c r="B25" s="398" t="s">
        <v>1164</v>
      </c>
      <c r="C25" s="398" t="s">
        <v>3331</v>
      </c>
      <c r="D25" s="399">
        <v>1444.25</v>
      </c>
      <c r="E25" s="399">
        <v>611.41999999999996</v>
      </c>
      <c r="F25" s="399">
        <v>3434717.7000000007</v>
      </c>
      <c r="G25" s="524">
        <f t="shared" si="0"/>
        <v>3436773.3700000006</v>
      </c>
      <c r="H25" s="405">
        <f t="shared" si="1"/>
        <v>1444.25</v>
      </c>
      <c r="I25" s="405">
        <f t="shared" si="2"/>
        <v>611.41999999999996</v>
      </c>
      <c r="J25" s="405">
        <f t="shared" si="3"/>
        <v>3434717.7000000007</v>
      </c>
      <c r="K25" s="406"/>
      <c r="L25" s="407"/>
      <c r="M25" s="407"/>
      <c r="N25" s="398" t="s">
        <v>3308</v>
      </c>
      <c r="O25" s="398" t="s">
        <v>1476</v>
      </c>
      <c r="P25" s="403">
        <f>SUMIF('Antelope Bailey Split BA'!$B$7:$B$29,B25,'Antelope Bailey Split BA'!$C$7:$C$29)</f>
        <v>0</v>
      </c>
      <c r="Q25" s="403" t="str">
        <f>IF(AND(P25=1,'Plant Total by Account'!$H$1=2),"EKWRA","")</f>
        <v/>
      </c>
      <c r="S25" s="403">
        <f>SUMIF('ISO w_System Splits'!$D$524:$D$615,B25,'ISO w_System Splits'!$P$524:$P$615)</f>
        <v>0</v>
      </c>
      <c r="T25" s="403" t="str">
        <f>IF(AND(S25&lt;&gt;0,'Plant Total by Account'!$H$1=2),"EKWRA TL Change","")</f>
        <v/>
      </c>
      <c r="V25" s="77">
        <v>5089</v>
      </c>
      <c r="W25" s="404">
        <f t="shared" si="4"/>
        <v>0</v>
      </c>
    </row>
    <row r="26" spans="1:23" ht="12.75" customHeight="1" x14ac:dyDescent="0.2">
      <c r="A26" s="386" t="s">
        <v>2390</v>
      </c>
      <c r="B26" s="398" t="s">
        <v>1165</v>
      </c>
      <c r="C26" s="398" t="s">
        <v>3330</v>
      </c>
      <c r="D26" s="399">
        <v>13182.65</v>
      </c>
      <c r="E26" s="399">
        <v>2756644.5100000002</v>
      </c>
      <c r="F26" s="399">
        <v>64092925.969999991</v>
      </c>
      <c r="G26" s="524">
        <f t="shared" si="0"/>
        <v>66862753.129999995</v>
      </c>
      <c r="H26" s="400">
        <f t="shared" si="1"/>
        <v>13182.65</v>
      </c>
      <c r="I26" s="400">
        <f t="shared" si="2"/>
        <v>2756644.5100000002</v>
      </c>
      <c r="J26" s="400">
        <f t="shared" si="3"/>
        <v>64092925.969999991</v>
      </c>
      <c r="K26" s="400"/>
      <c r="L26" s="400"/>
      <c r="M26" s="400"/>
      <c r="N26" s="398" t="s">
        <v>3308</v>
      </c>
      <c r="O26" s="398" t="s">
        <v>1723</v>
      </c>
      <c r="P26" s="403">
        <f>SUMIF('Antelope Bailey Split BA'!$B$7:$B$29,B26,'Antelope Bailey Split BA'!$C$7:$C$29)</f>
        <v>0</v>
      </c>
      <c r="Q26" s="403" t="str">
        <f>IF(AND(P26=1,'Plant Total by Account'!$H$1=2),"EKWRA","")</f>
        <v/>
      </c>
      <c r="S26" s="403">
        <f>SUMIF('ISO w_System Splits'!$D$524:$D$615,B26,'ISO w_System Splits'!$P$524:$P$615)</f>
        <v>0</v>
      </c>
      <c r="T26" s="403" t="str">
        <f>IF(AND(S26&lt;&gt;0,'Plant Total by Account'!$H$1=2),"EKWRA TL Change","")</f>
        <v/>
      </c>
      <c r="V26" s="77">
        <v>5090</v>
      </c>
      <c r="W26" s="404">
        <f t="shared" si="4"/>
        <v>0</v>
      </c>
    </row>
    <row r="27" spans="1:23" ht="12.75" customHeight="1" x14ac:dyDescent="0.2">
      <c r="A27" s="386" t="s">
        <v>2391</v>
      </c>
      <c r="B27" s="398" t="s">
        <v>1166</v>
      </c>
      <c r="C27" s="398" t="s">
        <v>3330</v>
      </c>
      <c r="D27" s="399">
        <v>0</v>
      </c>
      <c r="E27" s="399">
        <v>0</v>
      </c>
      <c r="F27" s="399">
        <v>12305.99</v>
      </c>
      <c r="G27" s="524">
        <f t="shared" si="0"/>
        <v>12305.99</v>
      </c>
      <c r="H27" s="405">
        <f t="shared" si="1"/>
        <v>0</v>
      </c>
      <c r="I27" s="405">
        <f t="shared" si="2"/>
        <v>0</v>
      </c>
      <c r="J27" s="405">
        <f t="shared" si="3"/>
        <v>12305.99</v>
      </c>
      <c r="K27" s="406"/>
      <c r="L27" s="407"/>
      <c r="M27" s="407"/>
      <c r="N27" s="398" t="s">
        <v>3308</v>
      </c>
      <c r="O27" s="398" t="s">
        <v>1476</v>
      </c>
      <c r="P27" s="403">
        <f>SUMIF('Antelope Bailey Split BA'!$B$7:$B$29,B27,'Antelope Bailey Split BA'!$C$7:$C$29)</f>
        <v>0</v>
      </c>
      <c r="Q27" s="403" t="str">
        <f>IF(AND(P27=1,'Plant Total by Account'!$H$1=2),"EKWRA","")</f>
        <v/>
      </c>
      <c r="S27" s="403">
        <f>SUMIF('ISO w_System Splits'!$D$524:$D$615,B27,'ISO w_System Splits'!$P$524:$P$615)</f>
        <v>0</v>
      </c>
      <c r="T27" s="403" t="str">
        <f>IF(AND(S27&lt;&gt;0,'Plant Total by Account'!$H$1=2),"EKWRA TL Change","")</f>
        <v/>
      </c>
      <c r="V27" s="77">
        <v>5091</v>
      </c>
      <c r="W27" s="404">
        <f t="shared" si="4"/>
        <v>0</v>
      </c>
    </row>
    <row r="28" spans="1:23" ht="12.75" customHeight="1" x14ac:dyDescent="0.2">
      <c r="A28" s="386" t="s">
        <v>2392</v>
      </c>
      <c r="B28" s="398" t="s">
        <v>1167</v>
      </c>
      <c r="C28" s="398" t="s">
        <v>3330</v>
      </c>
      <c r="D28" s="399">
        <v>0</v>
      </c>
      <c r="E28" s="399">
        <v>0</v>
      </c>
      <c r="F28" s="399">
        <v>1516885.03</v>
      </c>
      <c r="G28" s="524">
        <f t="shared" si="0"/>
        <v>1516885.03</v>
      </c>
      <c r="H28" s="405">
        <f t="shared" si="1"/>
        <v>0</v>
      </c>
      <c r="I28" s="405">
        <f t="shared" si="2"/>
        <v>0</v>
      </c>
      <c r="J28" s="405">
        <f t="shared" si="3"/>
        <v>1516885.03</v>
      </c>
      <c r="K28" s="406"/>
      <c r="L28" s="407"/>
      <c r="M28" s="407"/>
      <c r="N28" s="398" t="s">
        <v>3308</v>
      </c>
      <c r="O28" s="398" t="s">
        <v>1476</v>
      </c>
      <c r="P28" s="403">
        <f>SUMIF('Antelope Bailey Split BA'!$B$7:$B$29,B28,'Antelope Bailey Split BA'!$C$7:$C$29)</f>
        <v>0</v>
      </c>
      <c r="Q28" s="403" t="str">
        <f>IF(AND(P28=1,'Plant Total by Account'!$H$1=2),"EKWRA","")</f>
        <v/>
      </c>
      <c r="S28" s="403">
        <f>SUMIF('ISO w_System Splits'!$D$524:$D$615,B28,'ISO w_System Splits'!$P$524:$P$615)</f>
        <v>0</v>
      </c>
      <c r="T28" s="403" t="str">
        <f>IF(AND(S28&lt;&gt;0,'Plant Total by Account'!$H$1=2),"EKWRA TL Change","")</f>
        <v/>
      </c>
      <c r="V28" s="77">
        <v>5092</v>
      </c>
      <c r="W28" s="404">
        <f t="shared" si="4"/>
        <v>0</v>
      </c>
    </row>
    <row r="29" spans="1:23" ht="12.75" customHeight="1" x14ac:dyDescent="0.2">
      <c r="A29" s="386" t="s">
        <v>2393</v>
      </c>
      <c r="B29" s="398" t="s">
        <v>1168</v>
      </c>
      <c r="C29" s="398" t="s">
        <v>3330</v>
      </c>
      <c r="D29" s="399">
        <v>0</v>
      </c>
      <c r="E29" s="399">
        <v>738553.6100000001</v>
      </c>
      <c r="F29" s="399">
        <v>13375735.110000001</v>
      </c>
      <c r="G29" s="524">
        <f t="shared" si="0"/>
        <v>14114288.720000001</v>
      </c>
      <c r="H29" s="405">
        <f t="shared" si="1"/>
        <v>0</v>
      </c>
      <c r="I29" s="405">
        <f t="shared" si="2"/>
        <v>738553.6100000001</v>
      </c>
      <c r="J29" s="405">
        <f t="shared" si="3"/>
        <v>13375735.110000001</v>
      </c>
      <c r="K29" s="406"/>
      <c r="L29" s="407"/>
      <c r="M29" s="407"/>
      <c r="N29" s="398" t="s">
        <v>3308</v>
      </c>
      <c r="O29" s="398" t="s">
        <v>1476</v>
      </c>
      <c r="P29" s="403">
        <f>SUMIF('Antelope Bailey Split BA'!$B$7:$B$29,B29,'Antelope Bailey Split BA'!$C$7:$C$29)</f>
        <v>0</v>
      </c>
      <c r="Q29" s="403" t="str">
        <f>IF(AND(P29=1,'Plant Total by Account'!$H$1=2),"EKWRA","")</f>
        <v/>
      </c>
      <c r="S29" s="403">
        <f>SUMIF('ISO w_System Splits'!$D$524:$D$615,B29,'ISO w_System Splits'!$P$524:$P$615)</f>
        <v>0</v>
      </c>
      <c r="T29" s="403" t="str">
        <f>IF(AND(S29&lt;&gt;0,'Plant Total by Account'!$H$1=2),"EKWRA TL Change","")</f>
        <v/>
      </c>
      <c r="V29" s="77">
        <v>5093</v>
      </c>
      <c r="W29" s="404">
        <f t="shared" si="4"/>
        <v>0</v>
      </c>
    </row>
    <row r="30" spans="1:23" ht="12.75" customHeight="1" x14ac:dyDescent="0.2">
      <c r="A30" s="386" t="s">
        <v>2394</v>
      </c>
      <c r="B30" s="398" t="s">
        <v>1169</v>
      </c>
      <c r="C30" s="398" t="s">
        <v>3330</v>
      </c>
      <c r="D30" s="399">
        <v>0</v>
      </c>
      <c r="E30" s="399">
        <v>852828.17000000016</v>
      </c>
      <c r="F30" s="399">
        <v>8168259.580000001</v>
      </c>
      <c r="G30" s="524">
        <f t="shared" si="0"/>
        <v>9021087.7500000019</v>
      </c>
      <c r="H30" s="405">
        <f t="shared" si="1"/>
        <v>0</v>
      </c>
      <c r="I30" s="405">
        <f t="shared" si="2"/>
        <v>852828.17000000016</v>
      </c>
      <c r="J30" s="405">
        <f t="shared" si="3"/>
        <v>8168259.580000001</v>
      </c>
      <c r="K30" s="406"/>
      <c r="L30" s="407"/>
      <c r="M30" s="407"/>
      <c r="N30" s="398" t="s">
        <v>3308</v>
      </c>
      <c r="O30" s="398" t="s">
        <v>1476</v>
      </c>
      <c r="P30" s="403">
        <f>SUMIF('Antelope Bailey Split BA'!$B$7:$B$29,B30,'Antelope Bailey Split BA'!$C$7:$C$29)</f>
        <v>0</v>
      </c>
      <c r="Q30" s="403" t="str">
        <f>IF(AND(P30=1,'Plant Total by Account'!$H$1=2),"EKWRA","")</f>
        <v/>
      </c>
      <c r="S30" s="403">
        <f>SUMIF('ISO w_System Splits'!$D$524:$D$615,B30,'ISO w_System Splits'!$P$524:$P$615)</f>
        <v>0</v>
      </c>
      <c r="T30" s="403" t="str">
        <f>IF(AND(S30&lt;&gt;0,'Plant Total by Account'!$H$1=2),"EKWRA TL Change","")</f>
        <v/>
      </c>
      <c r="V30" s="77">
        <v>5094</v>
      </c>
      <c r="W30" s="404">
        <f t="shared" si="4"/>
        <v>0</v>
      </c>
    </row>
    <row r="31" spans="1:23" ht="12.75" customHeight="1" x14ac:dyDescent="0.2">
      <c r="A31" s="386" t="s">
        <v>1945</v>
      </c>
      <c r="B31" s="398" t="s">
        <v>1170</v>
      </c>
      <c r="C31" s="398" t="s">
        <v>3330</v>
      </c>
      <c r="D31" s="399">
        <v>0</v>
      </c>
      <c r="E31" s="399">
        <v>4629.17</v>
      </c>
      <c r="F31" s="399">
        <v>2445247.3399999994</v>
      </c>
      <c r="G31" s="524">
        <f t="shared" si="0"/>
        <v>2449876.5099999993</v>
      </c>
      <c r="H31" s="405">
        <f t="shared" si="1"/>
        <v>0</v>
      </c>
      <c r="I31" s="405">
        <f t="shared" si="2"/>
        <v>4629.17</v>
      </c>
      <c r="J31" s="405">
        <f t="shared" si="3"/>
        <v>2445247.3399999994</v>
      </c>
      <c r="K31" s="406"/>
      <c r="L31" s="407"/>
      <c r="M31" s="407"/>
      <c r="N31" s="398" t="s">
        <v>3308</v>
      </c>
      <c r="O31" s="398" t="s">
        <v>1476</v>
      </c>
      <c r="P31" s="403">
        <f>SUMIF('Antelope Bailey Split BA'!$B$7:$B$29,B31,'Antelope Bailey Split BA'!$C$7:$C$29)</f>
        <v>0</v>
      </c>
      <c r="Q31" s="403" t="str">
        <f>IF(AND(P31=1,'Plant Total by Account'!$H$1=2),"EKWRA","")</f>
        <v/>
      </c>
      <c r="S31" s="403">
        <f>SUMIF('ISO w_System Splits'!$D$524:$D$615,B31,'ISO w_System Splits'!$P$524:$P$615)</f>
        <v>0</v>
      </c>
      <c r="T31" s="403" t="str">
        <f>IF(AND(S31&lt;&gt;0,'Plant Total by Account'!$H$1=2),"EKWRA TL Change","")</f>
        <v/>
      </c>
      <c r="V31" s="77">
        <v>5097</v>
      </c>
      <c r="W31" s="404">
        <f t="shared" si="4"/>
        <v>0</v>
      </c>
    </row>
    <row r="32" spans="1:23" ht="12.75" customHeight="1" x14ac:dyDescent="0.2">
      <c r="A32" s="386" t="s">
        <v>2607</v>
      </c>
      <c r="B32" s="398" t="s">
        <v>1256</v>
      </c>
      <c r="C32" s="398" t="s">
        <v>3330</v>
      </c>
      <c r="D32" s="399">
        <v>0</v>
      </c>
      <c r="E32" s="399">
        <v>162585.25</v>
      </c>
      <c r="F32" s="399">
        <v>13930692.689999999</v>
      </c>
      <c r="G32" s="524">
        <f t="shared" si="0"/>
        <v>14093277.939999999</v>
      </c>
      <c r="H32" s="405">
        <f t="shared" si="1"/>
        <v>0</v>
      </c>
      <c r="I32" s="405">
        <f t="shared" si="2"/>
        <v>162585.25</v>
      </c>
      <c r="J32" s="405">
        <f t="shared" si="3"/>
        <v>13930692.689999999</v>
      </c>
      <c r="K32" s="406"/>
      <c r="L32" s="406"/>
      <c r="M32" s="406"/>
      <c r="N32" s="398" t="s">
        <v>3308</v>
      </c>
      <c r="O32" s="398" t="s">
        <v>1476</v>
      </c>
      <c r="P32" s="403">
        <f>SUMIF('Antelope Bailey Split BA'!$B$7:$B$29,B32,'Antelope Bailey Split BA'!$C$7:$C$29)</f>
        <v>0</v>
      </c>
      <c r="Q32" s="403" t="str">
        <f>IF(AND(P32=1,'Plant Total by Account'!$H$1=2),"EKWRA","")</f>
        <v/>
      </c>
      <c r="S32" s="403">
        <f>SUMIF('ISO w_System Splits'!$D$524:$D$615,B32,'ISO w_System Splits'!$P$524:$P$615)</f>
        <v>0</v>
      </c>
      <c r="T32" s="403" t="str">
        <f>IF(AND(S32&lt;&gt;0,'Plant Total by Account'!$H$1=2),"EKWRA TL Change","")</f>
        <v/>
      </c>
      <c r="V32" s="77">
        <v>8932</v>
      </c>
      <c r="W32" s="404">
        <f t="shared" si="4"/>
        <v>0</v>
      </c>
    </row>
    <row r="33" spans="1:23" ht="12.75" customHeight="1" x14ac:dyDescent="0.2">
      <c r="A33" s="386" t="s">
        <v>2608</v>
      </c>
      <c r="B33" s="398" t="s">
        <v>1257</v>
      </c>
      <c r="C33" s="398" t="s">
        <v>3331</v>
      </c>
      <c r="D33" s="399">
        <v>0</v>
      </c>
      <c r="E33" s="399">
        <v>55268.53</v>
      </c>
      <c r="F33" s="399">
        <v>942130.02</v>
      </c>
      <c r="G33" s="524">
        <f t="shared" si="0"/>
        <v>997398.55</v>
      </c>
      <c r="H33" s="405">
        <f t="shared" si="1"/>
        <v>0</v>
      </c>
      <c r="I33" s="405">
        <f t="shared" si="2"/>
        <v>55268.53</v>
      </c>
      <c r="J33" s="405">
        <f t="shared" si="3"/>
        <v>942130.02</v>
      </c>
      <c r="K33" s="406"/>
      <c r="L33" s="406"/>
      <c r="M33" s="406"/>
      <c r="N33" s="398" t="s">
        <v>3308</v>
      </c>
      <c r="O33" s="398" t="s">
        <v>1476</v>
      </c>
      <c r="P33" s="403">
        <f>SUMIF('Antelope Bailey Split BA'!$B$7:$B$29,B33,'Antelope Bailey Split BA'!$C$7:$C$29)</f>
        <v>0</v>
      </c>
      <c r="Q33" s="403" t="str">
        <f>IF(AND(P33=1,'Plant Total by Account'!$H$1=2),"EKWRA","")</f>
        <v/>
      </c>
      <c r="S33" s="403">
        <f>SUMIF('ISO w_System Splits'!$D$524:$D$615,B33,'ISO w_System Splits'!$P$524:$P$615)</f>
        <v>0</v>
      </c>
      <c r="T33" s="403" t="str">
        <f>IF(AND(S33&lt;&gt;0,'Plant Total by Account'!$H$1=2),"EKWRA TL Change","")</f>
        <v/>
      </c>
      <c r="V33" s="77">
        <v>8950</v>
      </c>
      <c r="W33" s="404">
        <f t="shared" si="4"/>
        <v>0</v>
      </c>
    </row>
    <row r="34" spans="1:23" ht="12.75" customHeight="1" x14ac:dyDescent="0.2">
      <c r="A34" s="408" t="s">
        <v>2609</v>
      </c>
      <c r="B34" s="398" t="s">
        <v>1258</v>
      </c>
      <c r="C34" s="398" t="s">
        <v>3332</v>
      </c>
      <c r="D34" s="399">
        <v>51663.37</v>
      </c>
      <c r="E34" s="399">
        <v>7731152.7600000016</v>
      </c>
      <c r="F34" s="399">
        <v>119338885.57999998</v>
      </c>
      <c r="G34" s="524">
        <f t="shared" si="0"/>
        <v>127121701.70999998</v>
      </c>
      <c r="H34" s="405">
        <f t="shared" si="1"/>
        <v>51663.37</v>
      </c>
      <c r="I34" s="405">
        <f t="shared" si="2"/>
        <v>7731152.7600000016</v>
      </c>
      <c r="J34" s="405">
        <f t="shared" si="3"/>
        <v>119338885.57999998</v>
      </c>
      <c r="K34" s="406"/>
      <c r="L34" s="407"/>
      <c r="M34" s="407"/>
      <c r="N34" s="398" t="s">
        <v>3308</v>
      </c>
      <c r="O34" s="398" t="s">
        <v>1476</v>
      </c>
      <c r="P34" s="403">
        <f>SUMIF('Antelope Bailey Split BA'!$B$7:$B$29,B34,'Antelope Bailey Split BA'!$C$7:$C$29)</f>
        <v>0</v>
      </c>
      <c r="Q34" s="403" t="str">
        <f>IF(AND(P34=1,'Plant Total by Account'!$H$1=2),"EKWRA","")</f>
        <v/>
      </c>
      <c r="S34" s="403">
        <f>SUMIF('ISO w_System Splits'!$D$524:$D$615,B34,'ISO w_System Splits'!$P$524:$P$615)</f>
        <v>0</v>
      </c>
      <c r="T34" s="403" t="str">
        <f>IF(AND(S34&lt;&gt;0,'Plant Total by Account'!$H$1=2),"EKWRA TL Change","")</f>
        <v/>
      </c>
      <c r="V34" s="77">
        <v>8958</v>
      </c>
      <c r="W34" s="404">
        <f t="shared" si="4"/>
        <v>0</v>
      </c>
    </row>
    <row r="35" spans="1:23" ht="12.75" customHeight="1" x14ac:dyDescent="0.2">
      <c r="A35" s="386" t="s">
        <v>2612</v>
      </c>
      <c r="B35" s="398" t="s">
        <v>1262</v>
      </c>
      <c r="C35" s="398" t="s">
        <v>2611</v>
      </c>
      <c r="D35" s="399">
        <v>24094283.82</v>
      </c>
      <c r="E35" s="399">
        <v>0</v>
      </c>
      <c r="F35" s="399">
        <v>0</v>
      </c>
      <c r="G35" s="524">
        <f t="shared" si="0"/>
        <v>24094283.82</v>
      </c>
      <c r="H35" s="405">
        <f t="shared" si="1"/>
        <v>24094283.82</v>
      </c>
      <c r="I35" s="405">
        <f t="shared" si="2"/>
        <v>0</v>
      </c>
      <c r="J35" s="405">
        <f t="shared" si="3"/>
        <v>0</v>
      </c>
      <c r="K35" s="406"/>
      <c r="L35" s="406"/>
      <c r="M35" s="406"/>
      <c r="N35" s="398" t="s">
        <v>3308</v>
      </c>
      <c r="O35" s="398" t="s">
        <v>1476</v>
      </c>
      <c r="P35" s="403">
        <f>SUMIF('Antelope Bailey Split BA'!$B$7:$B$29,B35,'Antelope Bailey Split BA'!$C$7:$C$29)</f>
        <v>0</v>
      </c>
      <c r="Q35" s="403" t="str">
        <f>IF(AND(P35=1,'Plant Total by Account'!$H$1=2),"EKWRA","")</f>
        <v/>
      </c>
      <c r="S35" s="403">
        <f>SUMIF('ISO w_System Splits'!$D$524:$D$615,B35,'ISO w_System Splits'!$P$524:$P$615)</f>
        <v>0</v>
      </c>
      <c r="T35" s="403" t="str">
        <f>IF(AND(S35&lt;&gt;0,'Plant Total by Account'!$H$1=2),"EKWRA TL Change","")</f>
        <v/>
      </c>
      <c r="V35" s="77">
        <v>9219</v>
      </c>
      <c r="W35" s="404">
        <f t="shared" si="4"/>
        <v>0</v>
      </c>
    </row>
    <row r="36" spans="1:23" ht="12.75" customHeight="1" x14ac:dyDescent="0.2">
      <c r="A36" s="386" t="s">
        <v>2250</v>
      </c>
      <c r="B36" s="398" t="s">
        <v>1038</v>
      </c>
      <c r="C36" s="398" t="s">
        <v>3330</v>
      </c>
      <c r="D36" s="399">
        <v>0</v>
      </c>
      <c r="E36" s="399">
        <v>56059.859999999993</v>
      </c>
      <c r="F36" s="399">
        <v>5136141.97</v>
      </c>
      <c r="G36" s="524">
        <f t="shared" si="0"/>
        <v>5192201.83</v>
      </c>
      <c r="H36" s="409"/>
      <c r="I36" s="407"/>
      <c r="J36" s="407"/>
      <c r="K36" s="406">
        <f t="shared" ref="K36:K99" si="5">D36</f>
        <v>0</v>
      </c>
      <c r="L36" s="406">
        <f t="shared" ref="L36:L99" si="6">E36</f>
        <v>56059.859999999993</v>
      </c>
      <c r="M36" s="406">
        <f t="shared" ref="M36:M99" si="7">F36</f>
        <v>5136141.97</v>
      </c>
      <c r="N36" s="398" t="s">
        <v>3309</v>
      </c>
      <c r="O36" s="398"/>
      <c r="P36" s="403">
        <f>SUMIF('Antelope Bailey Split BA'!$B$7:$B$29,B36,'Antelope Bailey Split BA'!$C$7:$C$29)</f>
        <v>0</v>
      </c>
      <c r="Q36" s="403" t="str">
        <f>IF(AND(P36=1,'Plant Total by Account'!$H$1=2),"EKWRA","")</f>
        <v/>
      </c>
      <c r="S36" s="403">
        <f>SUMIF('ISO w_System Splits'!$D$524:$D$615,B36,'ISO w_System Splits'!$P$524:$P$615)</f>
        <v>0</v>
      </c>
      <c r="T36" s="403" t="str">
        <f>IF(AND(S36&lt;&gt;0,'Plant Total by Account'!$H$1=2),"EKWRA TL Change","")</f>
        <v/>
      </c>
      <c r="V36" s="77">
        <v>1330</v>
      </c>
      <c r="W36" s="404">
        <f t="shared" si="4"/>
        <v>0</v>
      </c>
    </row>
    <row r="37" spans="1:23" ht="12.75" customHeight="1" x14ac:dyDescent="0.2">
      <c r="A37" s="386" t="s">
        <v>2251</v>
      </c>
      <c r="B37" s="398" t="s">
        <v>1039</v>
      </c>
      <c r="C37" s="398" t="s">
        <v>2252</v>
      </c>
      <c r="D37" s="399">
        <v>0</v>
      </c>
      <c r="E37" s="399">
        <v>0</v>
      </c>
      <c r="F37" s="399">
        <v>35854.54</v>
      </c>
      <c r="G37" s="524">
        <f t="shared" si="0"/>
        <v>35854.54</v>
      </c>
      <c r="H37" s="409"/>
      <c r="I37" s="407"/>
      <c r="J37" s="407"/>
      <c r="K37" s="406">
        <f t="shared" si="5"/>
        <v>0</v>
      </c>
      <c r="L37" s="406">
        <f t="shared" si="6"/>
        <v>0</v>
      </c>
      <c r="M37" s="406">
        <f t="shared" si="7"/>
        <v>35854.54</v>
      </c>
      <c r="N37" s="398" t="s">
        <v>3309</v>
      </c>
      <c r="O37" s="398"/>
      <c r="P37" s="403">
        <f>SUMIF('Antelope Bailey Split BA'!$B$7:$B$29,B37,'Antelope Bailey Split BA'!$C$7:$C$29)</f>
        <v>0</v>
      </c>
      <c r="Q37" s="403" t="str">
        <f>IF(AND(P37=1,'Plant Total by Account'!$H$1=2),"EKWRA","")</f>
        <v/>
      </c>
      <c r="S37" s="403">
        <f>SUMIF('ISO w_System Splits'!$D$524:$D$615,B37,'ISO w_System Splits'!$P$524:$P$615)</f>
        <v>0</v>
      </c>
      <c r="T37" s="403" t="str">
        <f>IF(AND(S37&lt;&gt;0,'Plant Total by Account'!$H$1=2),"EKWRA TL Change","")</f>
        <v/>
      </c>
      <c r="V37" s="77">
        <v>1451</v>
      </c>
      <c r="W37" s="404">
        <f t="shared" si="4"/>
        <v>0</v>
      </c>
    </row>
    <row r="38" spans="1:23" ht="12.75" customHeight="1" x14ac:dyDescent="0.2">
      <c r="A38" s="386" t="s">
        <v>2253</v>
      </c>
      <c r="B38" s="398" t="s">
        <v>1040</v>
      </c>
      <c r="C38" s="398" t="s">
        <v>3331</v>
      </c>
      <c r="D38" s="399">
        <v>88852.1</v>
      </c>
      <c r="E38" s="399">
        <v>0</v>
      </c>
      <c r="F38" s="399">
        <v>111471.51000000001</v>
      </c>
      <c r="G38" s="524">
        <f t="shared" si="0"/>
        <v>200323.61000000002</v>
      </c>
      <c r="H38" s="409"/>
      <c r="I38" s="407"/>
      <c r="J38" s="407"/>
      <c r="K38" s="406">
        <f t="shared" si="5"/>
        <v>88852.1</v>
      </c>
      <c r="L38" s="406">
        <f t="shared" si="6"/>
        <v>0</v>
      </c>
      <c r="M38" s="406">
        <f t="shared" si="7"/>
        <v>111471.51000000001</v>
      </c>
      <c r="N38" s="398" t="s">
        <v>3309</v>
      </c>
      <c r="O38" s="398"/>
      <c r="P38" s="403">
        <f>SUMIF('Antelope Bailey Split BA'!$B$7:$B$29,B38,'Antelope Bailey Split BA'!$C$7:$C$29)</f>
        <v>0</v>
      </c>
      <c r="Q38" s="403" t="str">
        <f>IF(AND(P38=1,'Plant Total by Account'!$H$1=2),"EKWRA","")</f>
        <v/>
      </c>
      <c r="S38" s="403">
        <f>SUMIF('ISO w_System Splits'!$D$524:$D$615,B38,'ISO w_System Splits'!$P$524:$P$615)</f>
        <v>0</v>
      </c>
      <c r="T38" s="403" t="str">
        <f>IF(AND(S38&lt;&gt;0,'Plant Total by Account'!$H$1=2),"EKWRA TL Change","")</f>
        <v/>
      </c>
      <c r="V38" s="77">
        <v>1808</v>
      </c>
      <c r="W38" s="404">
        <f t="shared" si="4"/>
        <v>0</v>
      </c>
    </row>
    <row r="39" spans="1:23" ht="12.75" customHeight="1" x14ac:dyDescent="0.2">
      <c r="A39" s="386" t="s">
        <v>2254</v>
      </c>
      <c r="B39" s="398" t="s">
        <v>1041</v>
      </c>
      <c r="C39" s="398" t="s">
        <v>3331</v>
      </c>
      <c r="D39" s="399">
        <v>0</v>
      </c>
      <c r="E39" s="399">
        <v>0</v>
      </c>
      <c r="F39" s="399">
        <v>6062348.1800000006</v>
      </c>
      <c r="G39" s="524">
        <f t="shared" si="0"/>
        <v>6062348.1800000006</v>
      </c>
      <c r="H39" s="409"/>
      <c r="I39" s="407"/>
      <c r="J39" s="407"/>
      <c r="K39" s="406">
        <f t="shared" si="5"/>
        <v>0</v>
      </c>
      <c r="L39" s="406">
        <f t="shared" si="6"/>
        <v>0</v>
      </c>
      <c r="M39" s="406">
        <f t="shared" si="7"/>
        <v>6062348.1800000006</v>
      </c>
      <c r="N39" s="398" t="s">
        <v>3309</v>
      </c>
      <c r="O39" s="398"/>
      <c r="P39" s="403">
        <f>SUMIF('Antelope Bailey Split BA'!$B$7:$B$29,B39,'Antelope Bailey Split BA'!$C$7:$C$29)</f>
        <v>0</v>
      </c>
      <c r="Q39" s="403" t="str">
        <f>IF(AND(P39=1,'Plant Total by Account'!$H$1=2),"EKWRA","")</f>
        <v/>
      </c>
      <c r="S39" s="403">
        <f>SUMIF('ISO w_System Splits'!$D$524:$D$615,B39,'ISO w_System Splits'!$P$524:$P$615)</f>
        <v>0</v>
      </c>
      <c r="T39" s="403" t="str">
        <f>IF(AND(S39&lt;&gt;0,'Plant Total by Account'!$H$1=2),"EKWRA TL Change","")</f>
        <v/>
      </c>
      <c r="V39" s="77">
        <v>1809</v>
      </c>
      <c r="W39" s="404">
        <f t="shared" si="4"/>
        <v>0</v>
      </c>
    </row>
    <row r="40" spans="1:23" ht="12.75" customHeight="1" x14ac:dyDescent="0.2">
      <c r="A40" s="386" t="s">
        <v>2255</v>
      </c>
      <c r="B40" s="398" t="s">
        <v>1042</v>
      </c>
      <c r="C40" s="398" t="s">
        <v>3331</v>
      </c>
      <c r="D40" s="399">
        <v>0</v>
      </c>
      <c r="E40" s="399">
        <v>43553.960000000006</v>
      </c>
      <c r="F40" s="399">
        <v>678988.66</v>
      </c>
      <c r="G40" s="524">
        <f t="shared" si="0"/>
        <v>722542.62</v>
      </c>
      <c r="H40" s="409"/>
      <c r="I40" s="407"/>
      <c r="J40" s="407"/>
      <c r="K40" s="406">
        <f t="shared" si="5"/>
        <v>0</v>
      </c>
      <c r="L40" s="406">
        <f t="shared" si="6"/>
        <v>43553.960000000006</v>
      </c>
      <c r="M40" s="406">
        <f t="shared" si="7"/>
        <v>678988.66</v>
      </c>
      <c r="N40" s="398" t="s">
        <v>3309</v>
      </c>
      <c r="O40" s="398"/>
      <c r="P40" s="403">
        <f>SUMIF('Antelope Bailey Split BA'!$B$7:$B$29,B40,'Antelope Bailey Split BA'!$C$7:$C$29)</f>
        <v>0</v>
      </c>
      <c r="Q40" s="403" t="str">
        <f>IF(AND(P40=1,'Plant Total by Account'!$H$1=2),"EKWRA","")</f>
        <v/>
      </c>
      <c r="S40" s="403">
        <f>SUMIF('ISO w_System Splits'!$D$524:$D$615,B40,'ISO w_System Splits'!$P$524:$P$615)</f>
        <v>0</v>
      </c>
      <c r="T40" s="403" t="str">
        <f>IF(AND(S40&lt;&gt;0,'Plant Total by Account'!$H$1=2),"EKWRA TL Change","")</f>
        <v/>
      </c>
      <c r="V40" s="77">
        <v>1810</v>
      </c>
      <c r="W40" s="404">
        <f t="shared" si="4"/>
        <v>0</v>
      </c>
    </row>
    <row r="41" spans="1:23" ht="12.75" customHeight="1" x14ac:dyDescent="0.2">
      <c r="A41" s="386" t="s">
        <v>2256</v>
      </c>
      <c r="B41" s="398" t="s">
        <v>1043</v>
      </c>
      <c r="C41" s="398" t="s">
        <v>3331</v>
      </c>
      <c r="D41" s="399">
        <v>0</v>
      </c>
      <c r="E41" s="399">
        <v>0</v>
      </c>
      <c r="F41" s="399">
        <v>8680666.4199999981</v>
      </c>
      <c r="G41" s="524">
        <f t="shared" si="0"/>
        <v>8680666.4199999981</v>
      </c>
      <c r="H41" s="409"/>
      <c r="I41" s="407"/>
      <c r="J41" s="407"/>
      <c r="K41" s="406">
        <f t="shared" si="5"/>
        <v>0</v>
      </c>
      <c r="L41" s="406">
        <f t="shared" si="6"/>
        <v>0</v>
      </c>
      <c r="M41" s="406">
        <f t="shared" si="7"/>
        <v>8680666.4199999981</v>
      </c>
      <c r="N41" s="398" t="s">
        <v>3309</v>
      </c>
      <c r="O41" s="398"/>
      <c r="P41" s="403">
        <f>SUMIF('Antelope Bailey Split BA'!$B$7:$B$29,B41,'Antelope Bailey Split BA'!$C$7:$C$29)</f>
        <v>0</v>
      </c>
      <c r="Q41" s="403" t="str">
        <f>IF(AND(P41=1,'Plant Total by Account'!$H$1=2),"EKWRA","")</f>
        <v/>
      </c>
      <c r="S41" s="403">
        <f>SUMIF('ISO w_System Splits'!$D$524:$D$615,B41,'ISO w_System Splits'!$P$524:$P$615)</f>
        <v>0</v>
      </c>
      <c r="T41" s="403" t="str">
        <f>IF(AND(S41&lt;&gt;0,'Plant Total by Account'!$H$1=2),"EKWRA TL Change","")</f>
        <v/>
      </c>
      <c r="V41" s="77">
        <v>1812</v>
      </c>
      <c r="W41" s="404">
        <f t="shared" si="4"/>
        <v>0</v>
      </c>
    </row>
    <row r="42" spans="1:23" ht="12.75" customHeight="1" x14ac:dyDescent="0.2">
      <c r="A42" s="386" t="s">
        <v>2257</v>
      </c>
      <c r="B42" s="398" t="s">
        <v>1044</v>
      </c>
      <c r="C42" s="398" t="s">
        <v>3331</v>
      </c>
      <c r="D42" s="399">
        <v>0</v>
      </c>
      <c r="E42" s="399">
        <v>0</v>
      </c>
      <c r="F42" s="399">
        <v>7851647.5099999979</v>
      </c>
      <c r="G42" s="524">
        <f t="shared" si="0"/>
        <v>7851647.5099999979</v>
      </c>
      <c r="H42" s="409"/>
      <c r="I42" s="407"/>
      <c r="J42" s="407"/>
      <c r="K42" s="406">
        <f t="shared" si="5"/>
        <v>0</v>
      </c>
      <c r="L42" s="406">
        <f t="shared" si="6"/>
        <v>0</v>
      </c>
      <c r="M42" s="406">
        <f t="shared" si="7"/>
        <v>7851647.5099999979</v>
      </c>
      <c r="N42" s="398" t="s">
        <v>3309</v>
      </c>
      <c r="O42" s="398"/>
      <c r="P42" s="403">
        <f>SUMIF('Antelope Bailey Split BA'!$B$7:$B$29,B42,'Antelope Bailey Split BA'!$C$7:$C$29)</f>
        <v>0</v>
      </c>
      <c r="Q42" s="403" t="str">
        <f>IF(AND(P42=1,'Plant Total by Account'!$H$1=2),"EKWRA","")</f>
        <v/>
      </c>
      <c r="S42" s="403">
        <f>SUMIF('ISO w_System Splits'!$D$524:$D$615,B42,'ISO w_System Splits'!$P$524:$P$615)</f>
        <v>0</v>
      </c>
      <c r="T42" s="403" t="str">
        <f>IF(AND(S42&lt;&gt;0,'Plant Total by Account'!$H$1=2),"EKWRA TL Change","")</f>
        <v/>
      </c>
      <c r="V42" s="77">
        <v>1818</v>
      </c>
      <c r="W42" s="404">
        <f t="shared" si="4"/>
        <v>0</v>
      </c>
    </row>
    <row r="43" spans="1:23" ht="12.75" customHeight="1" x14ac:dyDescent="0.2">
      <c r="A43" s="386" t="s">
        <v>2258</v>
      </c>
      <c r="B43" s="398" t="s">
        <v>1045</v>
      </c>
      <c r="C43" s="398" t="s">
        <v>3331</v>
      </c>
      <c r="D43" s="399">
        <v>0</v>
      </c>
      <c r="E43" s="399">
        <v>0</v>
      </c>
      <c r="F43" s="399">
        <v>756927.72</v>
      </c>
      <c r="G43" s="524">
        <f t="shared" si="0"/>
        <v>756927.72</v>
      </c>
      <c r="H43" s="409"/>
      <c r="I43" s="407"/>
      <c r="J43" s="407"/>
      <c r="K43" s="406">
        <f t="shared" si="5"/>
        <v>0</v>
      </c>
      <c r="L43" s="406">
        <f t="shared" si="6"/>
        <v>0</v>
      </c>
      <c r="M43" s="406">
        <f t="shared" si="7"/>
        <v>756927.72</v>
      </c>
      <c r="N43" s="398" t="s">
        <v>3309</v>
      </c>
      <c r="O43" s="398"/>
      <c r="P43" s="403">
        <f>SUMIF('Antelope Bailey Split BA'!$B$7:$B$29,B43,'Antelope Bailey Split BA'!$C$7:$C$29)</f>
        <v>0</v>
      </c>
      <c r="Q43" s="403" t="str">
        <f>IF(AND(P43=1,'Plant Total by Account'!$H$1=2),"EKWRA","")</f>
        <v/>
      </c>
      <c r="S43" s="403">
        <f>SUMIF('ISO w_System Splits'!$D$524:$D$615,B43,'ISO w_System Splits'!$P$524:$P$615)</f>
        <v>0</v>
      </c>
      <c r="T43" s="403" t="str">
        <f>IF(AND(S43&lt;&gt;0,'Plant Total by Account'!$H$1=2),"EKWRA TL Change","")</f>
        <v/>
      </c>
      <c r="V43" s="77">
        <v>1824</v>
      </c>
      <c r="W43" s="404">
        <f t="shared" si="4"/>
        <v>0</v>
      </c>
    </row>
    <row r="44" spans="1:23" ht="12.75" customHeight="1" x14ac:dyDescent="0.2">
      <c r="A44" s="386" t="s">
        <v>1820</v>
      </c>
      <c r="B44" s="398" t="s">
        <v>1046</v>
      </c>
      <c r="C44" s="398" t="s">
        <v>3331</v>
      </c>
      <c r="D44" s="399">
        <v>0</v>
      </c>
      <c r="E44" s="399">
        <v>0</v>
      </c>
      <c r="F44" s="399">
        <v>476646.98</v>
      </c>
      <c r="G44" s="524">
        <f t="shared" si="0"/>
        <v>476646.98</v>
      </c>
      <c r="H44" s="409"/>
      <c r="I44" s="407"/>
      <c r="J44" s="407"/>
      <c r="K44" s="406">
        <f t="shared" si="5"/>
        <v>0</v>
      </c>
      <c r="L44" s="406">
        <f t="shared" si="6"/>
        <v>0</v>
      </c>
      <c r="M44" s="406">
        <f t="shared" si="7"/>
        <v>476646.98</v>
      </c>
      <c r="N44" s="398" t="s">
        <v>3309</v>
      </c>
      <c r="O44" s="398"/>
      <c r="P44" s="403">
        <f>SUMIF('Antelope Bailey Split BA'!$B$7:$B$29,B44,'Antelope Bailey Split BA'!$C$7:$C$29)</f>
        <v>0</v>
      </c>
      <c r="Q44" s="403" t="str">
        <f>IF(AND(P44=1,'Plant Total by Account'!$H$1=2),"EKWRA","")</f>
        <v/>
      </c>
      <c r="S44" s="403">
        <f>SUMIF('ISO w_System Splits'!$D$524:$D$615,B44,'ISO w_System Splits'!$P$524:$P$615)</f>
        <v>0</v>
      </c>
      <c r="T44" s="403" t="str">
        <f>IF(AND(S44&lt;&gt;0,'Plant Total by Account'!$H$1=2),"EKWRA TL Change","")</f>
        <v/>
      </c>
      <c r="V44" s="77">
        <v>1839</v>
      </c>
      <c r="W44" s="404">
        <f t="shared" si="4"/>
        <v>0</v>
      </c>
    </row>
    <row r="45" spans="1:23" ht="12.75" customHeight="1" x14ac:dyDescent="0.2">
      <c r="A45" s="386" t="s">
        <v>837</v>
      </c>
      <c r="B45" s="398" t="s">
        <v>1047</v>
      </c>
      <c r="C45" s="398" t="s">
        <v>3330</v>
      </c>
      <c r="D45" s="399">
        <v>0</v>
      </c>
      <c r="E45" s="399">
        <v>0</v>
      </c>
      <c r="F45" s="399">
        <v>2556898.4</v>
      </c>
      <c r="G45" s="524">
        <f t="shared" si="0"/>
        <v>2556898.4</v>
      </c>
      <c r="H45" s="409"/>
      <c r="I45" s="407"/>
      <c r="J45" s="407"/>
      <c r="K45" s="406">
        <f t="shared" si="5"/>
        <v>0</v>
      </c>
      <c r="L45" s="406">
        <f t="shared" si="6"/>
        <v>0</v>
      </c>
      <c r="M45" s="406">
        <f t="shared" si="7"/>
        <v>2556898.4</v>
      </c>
      <c r="N45" s="398" t="s">
        <v>3309</v>
      </c>
      <c r="O45" s="398"/>
      <c r="P45" s="403">
        <f>SUMIF('Antelope Bailey Split BA'!$B$7:$B$29,B45,'Antelope Bailey Split BA'!$C$7:$C$29)</f>
        <v>0</v>
      </c>
      <c r="Q45" s="403" t="str">
        <f>IF(AND(P45=1,'Plant Total by Account'!$H$1=2),"EKWRA","")</f>
        <v/>
      </c>
      <c r="S45" s="403">
        <f>SUMIF('ISO w_System Splits'!$D$524:$D$615,B45,'ISO w_System Splits'!$P$524:$P$615)</f>
        <v>0</v>
      </c>
      <c r="T45" s="403" t="str">
        <f>IF(AND(S45&lt;&gt;0,'Plant Total by Account'!$H$1=2),"EKWRA TL Change","")</f>
        <v/>
      </c>
      <c r="V45" s="77">
        <v>1860</v>
      </c>
      <c r="W45" s="404">
        <f t="shared" si="4"/>
        <v>0</v>
      </c>
    </row>
    <row r="46" spans="1:23" ht="12.75" customHeight="1" x14ac:dyDescent="0.2">
      <c r="A46" s="386" t="s">
        <v>2259</v>
      </c>
      <c r="B46" s="398" t="s">
        <v>1048</v>
      </c>
      <c r="C46" s="398" t="s">
        <v>3330</v>
      </c>
      <c r="D46" s="399">
        <v>0</v>
      </c>
      <c r="E46" s="399">
        <v>0</v>
      </c>
      <c r="F46" s="399">
        <v>2577161.1700000004</v>
      </c>
      <c r="G46" s="524">
        <f t="shared" si="0"/>
        <v>2577161.1700000004</v>
      </c>
      <c r="H46" s="409"/>
      <c r="I46" s="407"/>
      <c r="J46" s="407"/>
      <c r="K46" s="406">
        <f t="shared" si="5"/>
        <v>0</v>
      </c>
      <c r="L46" s="406">
        <f t="shared" si="6"/>
        <v>0</v>
      </c>
      <c r="M46" s="406">
        <f t="shared" si="7"/>
        <v>2577161.1700000004</v>
      </c>
      <c r="N46" s="398" t="s">
        <v>3309</v>
      </c>
      <c r="O46" s="398"/>
      <c r="P46" s="403">
        <f>SUMIF('Antelope Bailey Split BA'!$B$7:$B$29,B46,'Antelope Bailey Split BA'!$C$7:$C$29)</f>
        <v>0</v>
      </c>
      <c r="Q46" s="403" t="str">
        <f>IF(AND(P46=1,'Plant Total by Account'!$H$1=2),"EKWRA","")</f>
        <v/>
      </c>
      <c r="S46" s="403">
        <f>SUMIF('ISO w_System Splits'!$D$524:$D$615,B46,'ISO w_System Splits'!$P$524:$P$615)</f>
        <v>0</v>
      </c>
      <c r="T46" s="403" t="str">
        <f>IF(AND(S46&lt;&gt;0,'Plant Total by Account'!$H$1=2),"EKWRA TL Change","")</f>
        <v/>
      </c>
      <c r="V46" s="77">
        <v>1864</v>
      </c>
      <c r="W46" s="404">
        <f t="shared" si="4"/>
        <v>0</v>
      </c>
    </row>
    <row r="47" spans="1:23" ht="12.75" customHeight="1" x14ac:dyDescent="0.2">
      <c r="A47" s="386" t="s">
        <v>2260</v>
      </c>
      <c r="B47" s="398" t="s">
        <v>1049</v>
      </c>
      <c r="C47" s="398" t="s">
        <v>3330</v>
      </c>
      <c r="D47" s="399">
        <v>0</v>
      </c>
      <c r="E47" s="399">
        <v>0</v>
      </c>
      <c r="F47" s="399">
        <v>2755188.2300000004</v>
      </c>
      <c r="G47" s="524">
        <f t="shared" si="0"/>
        <v>2755188.2300000004</v>
      </c>
      <c r="H47" s="409"/>
      <c r="I47" s="407"/>
      <c r="J47" s="407"/>
      <c r="K47" s="406">
        <f t="shared" si="5"/>
        <v>0</v>
      </c>
      <c r="L47" s="406">
        <f t="shared" si="6"/>
        <v>0</v>
      </c>
      <c r="M47" s="406">
        <f t="shared" si="7"/>
        <v>2755188.2300000004</v>
      </c>
      <c r="N47" s="398" t="s">
        <v>3309</v>
      </c>
      <c r="O47" s="398"/>
      <c r="P47" s="403">
        <f>SUMIF('Antelope Bailey Split BA'!$B$7:$B$29,B47,'Antelope Bailey Split BA'!$C$7:$C$29)</f>
        <v>0</v>
      </c>
      <c r="Q47" s="403" t="str">
        <f>IF(AND(P47=1,'Plant Total by Account'!$H$1=2),"EKWRA","")</f>
        <v/>
      </c>
      <c r="S47" s="403">
        <f>SUMIF('ISO w_System Splits'!$D$524:$D$615,B47,'ISO w_System Splits'!$P$524:$P$615)</f>
        <v>0</v>
      </c>
      <c r="T47" s="403" t="str">
        <f>IF(AND(S47&lt;&gt;0,'Plant Total by Account'!$H$1=2),"EKWRA TL Change","")</f>
        <v/>
      </c>
      <c r="V47" s="77">
        <v>1866</v>
      </c>
      <c r="W47" s="404">
        <f t="shared" si="4"/>
        <v>0</v>
      </c>
    </row>
    <row r="48" spans="1:23" ht="12.75" customHeight="1" x14ac:dyDescent="0.2">
      <c r="A48" s="386" t="s">
        <v>2261</v>
      </c>
      <c r="B48" s="398" t="s">
        <v>1050</v>
      </c>
      <c r="C48" s="398" t="s">
        <v>3330</v>
      </c>
      <c r="D48" s="399">
        <v>7766</v>
      </c>
      <c r="E48" s="399">
        <v>0</v>
      </c>
      <c r="F48" s="399">
        <v>1218283.48</v>
      </c>
      <c r="G48" s="524">
        <f t="shared" si="0"/>
        <v>1226049.48</v>
      </c>
      <c r="H48" s="409"/>
      <c r="I48" s="407"/>
      <c r="J48" s="407"/>
      <c r="K48" s="406">
        <f t="shared" si="5"/>
        <v>7766</v>
      </c>
      <c r="L48" s="406">
        <f t="shared" si="6"/>
        <v>0</v>
      </c>
      <c r="M48" s="406">
        <f t="shared" si="7"/>
        <v>1218283.48</v>
      </c>
      <c r="N48" s="398" t="s">
        <v>3309</v>
      </c>
      <c r="O48" s="398"/>
      <c r="P48" s="403">
        <f>SUMIF('Antelope Bailey Split BA'!$B$7:$B$29,B48,'Antelope Bailey Split BA'!$C$7:$C$29)</f>
        <v>0</v>
      </c>
      <c r="Q48" s="403" t="str">
        <f>IF(AND(P48=1,'Plant Total by Account'!$H$1=2),"EKWRA","")</f>
        <v/>
      </c>
      <c r="S48" s="403">
        <f>SUMIF('ISO w_System Splits'!$D$524:$D$615,B48,'ISO w_System Splits'!$P$524:$P$615)</f>
        <v>0</v>
      </c>
      <c r="T48" s="403" t="str">
        <f>IF(AND(S48&lt;&gt;0,'Plant Total by Account'!$H$1=2),"EKWRA TL Change","")</f>
        <v/>
      </c>
      <c r="V48" s="77">
        <v>1867</v>
      </c>
      <c r="W48" s="404">
        <f t="shared" si="4"/>
        <v>0</v>
      </c>
    </row>
    <row r="49" spans="1:23" ht="12.75" customHeight="1" x14ac:dyDescent="0.2">
      <c r="A49" s="386" t="s">
        <v>1824</v>
      </c>
      <c r="B49" s="398" t="s">
        <v>1034</v>
      </c>
      <c r="C49" s="398" t="s">
        <v>3331</v>
      </c>
      <c r="D49" s="399">
        <v>0</v>
      </c>
      <c r="E49" s="399">
        <v>0</v>
      </c>
      <c r="F49" s="399">
        <v>24015.599999999999</v>
      </c>
      <c r="G49" s="524">
        <f t="shared" si="0"/>
        <v>24015.599999999999</v>
      </c>
      <c r="H49" s="409"/>
      <c r="I49" s="407"/>
      <c r="J49" s="407"/>
      <c r="K49" s="406">
        <f t="shared" si="5"/>
        <v>0</v>
      </c>
      <c r="L49" s="406">
        <f t="shared" si="6"/>
        <v>0</v>
      </c>
      <c r="M49" s="406">
        <f t="shared" si="7"/>
        <v>24015.599999999999</v>
      </c>
      <c r="N49" s="398" t="s">
        <v>3309</v>
      </c>
      <c r="O49" s="398"/>
      <c r="P49" s="403">
        <f>SUMIF('Antelope Bailey Split BA'!$B$7:$B$29,B49,'Antelope Bailey Split BA'!$C$7:$C$29)</f>
        <v>0</v>
      </c>
      <c r="Q49" s="403" t="str">
        <f>IF(AND(P49=1,'Plant Total by Account'!$H$1=2),"EKWRA","")</f>
        <v/>
      </c>
      <c r="S49" s="403">
        <f>SUMIF('ISO w_System Splits'!$D$524:$D$615,B49,'ISO w_System Splits'!$P$524:$P$615)</f>
        <v>0</v>
      </c>
      <c r="T49" s="403" t="str">
        <f>IF(AND(S49&lt;&gt;0,'Plant Total by Account'!$H$1=2),"EKWRA TL Change","")</f>
        <v/>
      </c>
      <c r="V49" s="77">
        <v>2150</v>
      </c>
      <c r="W49" s="404">
        <f t="shared" si="4"/>
        <v>0</v>
      </c>
    </row>
    <row r="50" spans="1:23" ht="12.75" customHeight="1" x14ac:dyDescent="0.2">
      <c r="A50" s="386" t="s">
        <v>2262</v>
      </c>
      <c r="B50" s="398" t="s">
        <v>141</v>
      </c>
      <c r="C50" s="398" t="s">
        <v>3333</v>
      </c>
      <c r="D50" s="399">
        <v>0</v>
      </c>
      <c r="E50" s="399">
        <v>0</v>
      </c>
      <c r="F50" s="399">
        <v>1641021.78</v>
      </c>
      <c r="G50" s="524">
        <f t="shared" si="0"/>
        <v>1641021.78</v>
      </c>
      <c r="H50" s="409"/>
      <c r="I50" s="407"/>
      <c r="J50" s="407"/>
      <c r="K50" s="406">
        <f t="shared" si="5"/>
        <v>0</v>
      </c>
      <c r="L50" s="406">
        <f t="shared" si="6"/>
        <v>0</v>
      </c>
      <c r="M50" s="406">
        <f t="shared" si="7"/>
        <v>1641021.78</v>
      </c>
      <c r="N50" s="398" t="s">
        <v>3309</v>
      </c>
      <c r="O50" s="398"/>
      <c r="P50" s="403">
        <f>SUMIF('Antelope Bailey Split BA'!$B$7:$B$29,B50,'Antelope Bailey Split BA'!$C$7:$C$29)</f>
        <v>0</v>
      </c>
      <c r="Q50" s="403" t="str">
        <f>IF(AND(P50=1,'Plant Total by Account'!$H$1=2),"EKWRA","")</f>
        <v/>
      </c>
      <c r="S50" s="403">
        <f>SUMIF('ISO w_System Splits'!$D$524:$D$615,B50,'ISO w_System Splits'!$P$524:$P$615)</f>
        <v>0</v>
      </c>
      <c r="T50" s="403" t="str">
        <f>IF(AND(S50&lt;&gt;0,'Plant Total by Account'!$H$1=2),"EKWRA TL Change","")</f>
        <v/>
      </c>
      <c r="V50" s="77">
        <v>2202</v>
      </c>
      <c r="W50" s="404">
        <f t="shared" si="4"/>
        <v>0</v>
      </c>
    </row>
    <row r="51" spans="1:23" ht="12.75" customHeight="1" x14ac:dyDescent="0.2">
      <c r="A51" s="386" t="s">
        <v>2269</v>
      </c>
      <c r="B51" s="398" t="s">
        <v>122</v>
      </c>
      <c r="C51" s="398" t="s">
        <v>3333</v>
      </c>
      <c r="D51" s="399">
        <v>0</v>
      </c>
      <c r="E51" s="399">
        <v>0</v>
      </c>
      <c r="F51" s="399">
        <v>68245.700000000012</v>
      </c>
      <c r="G51" s="524">
        <f t="shared" si="0"/>
        <v>68245.700000000012</v>
      </c>
      <c r="H51" s="409"/>
      <c r="I51" s="407"/>
      <c r="J51" s="407"/>
      <c r="K51" s="406">
        <f t="shared" si="5"/>
        <v>0</v>
      </c>
      <c r="L51" s="406">
        <f t="shared" si="6"/>
        <v>0</v>
      </c>
      <c r="M51" s="406">
        <f t="shared" si="7"/>
        <v>68245.700000000012</v>
      </c>
      <c r="N51" s="398" t="s">
        <v>3309</v>
      </c>
      <c r="O51" s="398"/>
      <c r="P51" s="403">
        <f>SUMIF('Antelope Bailey Split BA'!$B$7:$B$29,B51,'Antelope Bailey Split BA'!$C$7:$C$29)</f>
        <v>0</v>
      </c>
      <c r="Q51" s="403" t="str">
        <f>IF(AND(P51=1,'Plant Total by Account'!$H$1=2),"EKWRA","")</f>
        <v/>
      </c>
      <c r="S51" s="403">
        <f>SUMIF('ISO w_System Splits'!$D$524:$D$615,B51,'ISO w_System Splits'!$P$524:$P$615)</f>
        <v>0</v>
      </c>
      <c r="T51" s="403" t="str">
        <f>IF(AND(S51&lt;&gt;0,'Plant Total by Account'!$H$1=2),"EKWRA TL Change","")</f>
        <v/>
      </c>
      <c r="V51" s="77">
        <v>2237</v>
      </c>
      <c r="W51" s="404">
        <f t="shared" si="4"/>
        <v>0</v>
      </c>
    </row>
    <row r="52" spans="1:23" ht="12.75" customHeight="1" x14ac:dyDescent="0.2">
      <c r="A52" s="386" t="s">
        <v>2270</v>
      </c>
      <c r="B52" s="398" t="s">
        <v>145</v>
      </c>
      <c r="C52" s="398" t="s">
        <v>3331</v>
      </c>
      <c r="D52" s="399">
        <v>0</v>
      </c>
      <c r="E52" s="399">
        <v>0</v>
      </c>
      <c r="F52" s="399">
        <v>2839490.9599999995</v>
      </c>
      <c r="G52" s="524">
        <f t="shared" si="0"/>
        <v>2839490.9599999995</v>
      </c>
      <c r="H52" s="409"/>
      <c r="I52" s="407"/>
      <c r="J52" s="406"/>
      <c r="K52" s="406">
        <f t="shared" si="5"/>
        <v>0</v>
      </c>
      <c r="L52" s="406">
        <f t="shared" si="6"/>
        <v>0</v>
      </c>
      <c r="M52" s="406">
        <f t="shared" si="7"/>
        <v>2839490.9599999995</v>
      </c>
      <c r="N52" s="398" t="s">
        <v>3309</v>
      </c>
      <c r="O52" s="398"/>
      <c r="P52" s="403">
        <f>SUMIF('Antelope Bailey Split BA'!$B$7:$B$29,B52,'Antelope Bailey Split BA'!$C$7:$C$29)</f>
        <v>0</v>
      </c>
      <c r="Q52" s="403" t="str">
        <f>IF(AND(P52=1,'Plant Total by Account'!$H$1=2),"EKWRA","")</f>
        <v/>
      </c>
      <c r="S52" s="403">
        <f>SUMIF('ISO w_System Splits'!$D$524:$D$615,B52,'ISO w_System Splits'!$P$524:$P$615)</f>
        <v>0</v>
      </c>
      <c r="T52" s="403" t="str">
        <f>IF(AND(S52&lt;&gt;0,'Plant Total by Account'!$H$1=2),"EKWRA TL Change","")</f>
        <v/>
      </c>
      <c r="V52" s="77">
        <v>2238</v>
      </c>
      <c r="W52" s="404">
        <f t="shared" si="4"/>
        <v>0</v>
      </c>
    </row>
    <row r="53" spans="1:23" ht="12.75" customHeight="1" x14ac:dyDescent="0.2">
      <c r="A53" s="386" t="s">
        <v>2271</v>
      </c>
      <c r="B53" s="398" t="s">
        <v>1055</v>
      </c>
      <c r="C53" s="398" t="s">
        <v>3331</v>
      </c>
      <c r="D53" s="399">
        <v>0</v>
      </c>
      <c r="E53" s="399">
        <v>627754</v>
      </c>
      <c r="F53" s="399">
        <v>4435235.71</v>
      </c>
      <c r="G53" s="524">
        <f t="shared" si="0"/>
        <v>5062989.71</v>
      </c>
      <c r="H53" s="409"/>
      <c r="I53" s="407"/>
      <c r="J53" s="406"/>
      <c r="K53" s="406">
        <f t="shared" si="5"/>
        <v>0</v>
      </c>
      <c r="L53" s="406">
        <f t="shared" si="6"/>
        <v>627754</v>
      </c>
      <c r="M53" s="406">
        <f t="shared" si="7"/>
        <v>4435235.71</v>
      </c>
      <c r="N53" s="398" t="s">
        <v>3309</v>
      </c>
      <c r="O53" s="398"/>
      <c r="P53" s="403">
        <f>SUMIF('Antelope Bailey Split BA'!$B$7:$B$29,B53,'Antelope Bailey Split BA'!$C$7:$C$29)</f>
        <v>0</v>
      </c>
      <c r="Q53" s="403" t="str">
        <f>IF(AND(P53=1,'Plant Total by Account'!$H$1=2),"EKWRA","")</f>
        <v/>
      </c>
      <c r="S53" s="403">
        <f>SUMIF('ISO w_System Splits'!$D$524:$D$615,B53,'ISO w_System Splits'!$P$524:$P$615)</f>
        <v>0</v>
      </c>
      <c r="T53" s="403" t="str">
        <f>IF(AND(S53&lt;&gt;0,'Plant Total by Account'!$H$1=2),"EKWRA TL Change","")</f>
        <v/>
      </c>
      <c r="V53" s="77">
        <v>2239</v>
      </c>
      <c r="W53" s="404">
        <f t="shared" si="4"/>
        <v>0</v>
      </c>
    </row>
    <row r="54" spans="1:23" ht="12.75" customHeight="1" x14ac:dyDescent="0.2">
      <c r="A54" s="386" t="s">
        <v>2272</v>
      </c>
      <c r="B54" s="398" t="s">
        <v>1056</v>
      </c>
      <c r="C54" s="398" t="s">
        <v>2252</v>
      </c>
      <c r="D54" s="399">
        <v>0</v>
      </c>
      <c r="E54" s="399">
        <v>0</v>
      </c>
      <c r="F54" s="399">
        <v>10366.790000000001</v>
      </c>
      <c r="G54" s="524">
        <f t="shared" si="0"/>
        <v>10366.790000000001</v>
      </c>
      <c r="H54" s="409"/>
      <c r="I54" s="407"/>
      <c r="J54" s="407"/>
      <c r="K54" s="406">
        <f t="shared" si="5"/>
        <v>0</v>
      </c>
      <c r="L54" s="406">
        <f t="shared" si="6"/>
        <v>0</v>
      </c>
      <c r="M54" s="406">
        <f t="shared" si="7"/>
        <v>10366.790000000001</v>
      </c>
      <c r="N54" s="398" t="s">
        <v>3309</v>
      </c>
      <c r="O54" s="398"/>
      <c r="P54" s="403">
        <f>SUMIF('Antelope Bailey Split BA'!$B$7:$B$29,B54,'Antelope Bailey Split BA'!$C$7:$C$29)</f>
        <v>0</v>
      </c>
      <c r="Q54" s="403" t="str">
        <f>IF(AND(P54=1,'Plant Total by Account'!$H$1=2),"EKWRA","")</f>
        <v/>
      </c>
      <c r="S54" s="403">
        <f>SUMIF('ISO w_System Splits'!$D$524:$D$615,B54,'ISO w_System Splits'!$P$524:$P$615)</f>
        <v>0</v>
      </c>
      <c r="T54" s="403" t="str">
        <f>IF(AND(S54&lt;&gt;0,'Plant Total by Account'!$H$1=2),"EKWRA TL Change","")</f>
        <v/>
      </c>
      <c r="V54" s="77">
        <v>2300</v>
      </c>
      <c r="W54" s="404">
        <f t="shared" si="4"/>
        <v>0</v>
      </c>
    </row>
    <row r="55" spans="1:23" ht="12.75" customHeight="1" x14ac:dyDescent="0.2">
      <c r="A55" s="386" t="s">
        <v>1836</v>
      </c>
      <c r="B55" s="398" t="s">
        <v>1057</v>
      </c>
      <c r="C55" s="398" t="s">
        <v>3333</v>
      </c>
      <c r="D55" s="399">
        <v>0</v>
      </c>
      <c r="E55" s="399">
        <v>0</v>
      </c>
      <c r="F55" s="399">
        <v>421923.88</v>
      </c>
      <c r="G55" s="524">
        <f t="shared" si="0"/>
        <v>421923.88</v>
      </c>
      <c r="H55" s="409"/>
      <c r="I55" s="407"/>
      <c r="J55" s="407"/>
      <c r="K55" s="406">
        <f t="shared" si="5"/>
        <v>0</v>
      </c>
      <c r="L55" s="406">
        <f t="shared" si="6"/>
        <v>0</v>
      </c>
      <c r="M55" s="406">
        <f t="shared" si="7"/>
        <v>421923.88</v>
      </c>
      <c r="N55" s="398" t="s">
        <v>3309</v>
      </c>
      <c r="O55" s="398"/>
      <c r="P55" s="403">
        <f>SUMIF('Antelope Bailey Split BA'!$B$7:$B$29,B55,'Antelope Bailey Split BA'!$C$7:$C$29)</f>
        <v>0</v>
      </c>
      <c r="Q55" s="403" t="str">
        <f>IF(AND(P55=1,'Plant Total by Account'!$H$1=2),"EKWRA","")</f>
        <v/>
      </c>
      <c r="S55" s="403">
        <f>SUMIF('ISO w_System Splits'!$D$524:$D$615,B55,'ISO w_System Splits'!$P$524:$P$615)</f>
        <v>0</v>
      </c>
      <c r="T55" s="403" t="str">
        <f>IF(AND(S55&lt;&gt;0,'Plant Total by Account'!$H$1=2),"EKWRA TL Change","")</f>
        <v/>
      </c>
      <c r="V55" s="77">
        <v>2301</v>
      </c>
      <c r="W55" s="404">
        <f t="shared" si="4"/>
        <v>0</v>
      </c>
    </row>
    <row r="56" spans="1:23" ht="12.75" customHeight="1" x14ac:dyDescent="0.2">
      <c r="A56" s="386" t="s">
        <v>1837</v>
      </c>
      <c r="B56" s="398" t="s">
        <v>1058</v>
      </c>
      <c r="C56" s="398" t="s">
        <v>3333</v>
      </c>
      <c r="D56" s="399">
        <v>0</v>
      </c>
      <c r="E56" s="399">
        <v>0</v>
      </c>
      <c r="F56" s="399">
        <v>140225.87</v>
      </c>
      <c r="G56" s="524">
        <f t="shared" si="0"/>
        <v>140225.87</v>
      </c>
      <c r="H56" s="409"/>
      <c r="I56" s="407"/>
      <c r="J56" s="407"/>
      <c r="K56" s="406">
        <f t="shared" si="5"/>
        <v>0</v>
      </c>
      <c r="L56" s="406">
        <f t="shared" si="6"/>
        <v>0</v>
      </c>
      <c r="M56" s="406">
        <f t="shared" si="7"/>
        <v>140225.87</v>
      </c>
      <c r="N56" s="398" t="s">
        <v>3309</v>
      </c>
      <c r="O56" s="398"/>
      <c r="P56" s="403">
        <f>SUMIF('Antelope Bailey Split BA'!$B$7:$B$29,B56,'Antelope Bailey Split BA'!$C$7:$C$29)</f>
        <v>0</v>
      </c>
      <c r="Q56" s="403" t="str">
        <f>IF(AND(P56=1,'Plant Total by Account'!$H$1=2),"EKWRA","")</f>
        <v/>
      </c>
      <c r="S56" s="403">
        <f>SUMIF('ISO w_System Splits'!$D$524:$D$615,B56,'ISO w_System Splits'!$P$524:$P$615)</f>
        <v>0</v>
      </c>
      <c r="T56" s="403" t="str">
        <f>IF(AND(S56&lt;&gt;0,'Plant Total by Account'!$H$1=2),"EKWRA TL Change","")</f>
        <v/>
      </c>
      <c r="V56" s="77">
        <v>2303</v>
      </c>
      <c r="W56" s="404">
        <f t="shared" si="4"/>
        <v>0</v>
      </c>
    </row>
    <row r="57" spans="1:23" ht="12.75" customHeight="1" x14ac:dyDescent="0.2">
      <c r="A57" s="386" t="s">
        <v>2273</v>
      </c>
      <c r="B57" s="398" t="s">
        <v>1059</v>
      </c>
      <c r="C57" s="398" t="s">
        <v>3334</v>
      </c>
      <c r="D57" s="399">
        <v>0</v>
      </c>
      <c r="E57" s="399">
        <v>0</v>
      </c>
      <c r="F57" s="399">
        <v>692139.9</v>
      </c>
      <c r="G57" s="524">
        <f t="shared" si="0"/>
        <v>692139.9</v>
      </c>
      <c r="H57" s="409"/>
      <c r="I57" s="407"/>
      <c r="J57" s="407"/>
      <c r="K57" s="406">
        <f t="shared" si="5"/>
        <v>0</v>
      </c>
      <c r="L57" s="406">
        <f t="shared" si="6"/>
        <v>0</v>
      </c>
      <c r="M57" s="406">
        <f t="shared" si="7"/>
        <v>692139.9</v>
      </c>
      <c r="N57" s="398" t="s">
        <v>3309</v>
      </c>
      <c r="O57" s="398"/>
      <c r="P57" s="403">
        <f>SUMIF('Antelope Bailey Split BA'!$B$7:$B$29,B57,'Antelope Bailey Split BA'!$C$7:$C$29)</f>
        <v>0</v>
      </c>
      <c r="Q57" s="403" t="str">
        <f>IF(AND(P57=1,'Plant Total by Account'!$H$1=2),"EKWRA","")</f>
        <v/>
      </c>
      <c r="S57" s="403">
        <f>SUMIF('ISO w_System Splits'!$D$524:$D$615,B57,'ISO w_System Splits'!$P$524:$P$615)</f>
        <v>0</v>
      </c>
      <c r="T57" s="403" t="str">
        <f>IF(AND(S57&lt;&gt;0,'Plant Total by Account'!$H$1=2),"EKWRA TL Change","")</f>
        <v/>
      </c>
      <c r="V57" s="77">
        <v>2305</v>
      </c>
      <c r="W57" s="404">
        <f t="shared" si="4"/>
        <v>0</v>
      </c>
    </row>
    <row r="58" spans="1:23" ht="12.75" customHeight="1" x14ac:dyDescent="0.2">
      <c r="A58" s="386" t="s">
        <v>2274</v>
      </c>
      <c r="B58" s="398" t="s">
        <v>1060</v>
      </c>
      <c r="C58" s="398" t="s">
        <v>3334</v>
      </c>
      <c r="D58" s="399">
        <v>0</v>
      </c>
      <c r="E58" s="399">
        <v>0</v>
      </c>
      <c r="F58" s="399">
        <v>572929.49</v>
      </c>
      <c r="G58" s="524">
        <f t="shared" si="0"/>
        <v>572929.49</v>
      </c>
      <c r="H58" s="409"/>
      <c r="I58" s="407"/>
      <c r="J58" s="407"/>
      <c r="K58" s="406">
        <f t="shared" si="5"/>
        <v>0</v>
      </c>
      <c r="L58" s="406">
        <f t="shared" si="6"/>
        <v>0</v>
      </c>
      <c r="M58" s="406">
        <f t="shared" si="7"/>
        <v>572929.49</v>
      </c>
      <c r="N58" s="398" t="s">
        <v>3309</v>
      </c>
      <c r="O58" s="398"/>
      <c r="P58" s="403">
        <f>SUMIF('Antelope Bailey Split BA'!$B$7:$B$29,B58,'Antelope Bailey Split BA'!$C$7:$C$29)</f>
        <v>0</v>
      </c>
      <c r="Q58" s="403" t="str">
        <f>IF(AND(P58=1,'Plant Total by Account'!$H$1=2),"EKWRA","")</f>
        <v/>
      </c>
      <c r="S58" s="403">
        <f>SUMIF('ISO w_System Splits'!$D$524:$D$615,B58,'ISO w_System Splits'!$P$524:$P$615)</f>
        <v>0</v>
      </c>
      <c r="T58" s="403" t="str">
        <f>IF(AND(S58&lt;&gt;0,'Plant Total by Account'!$H$1=2),"EKWRA TL Change","")</f>
        <v/>
      </c>
      <c r="V58" s="77">
        <v>2307</v>
      </c>
      <c r="W58" s="404">
        <f t="shared" si="4"/>
        <v>0</v>
      </c>
    </row>
    <row r="59" spans="1:23" ht="12.75" customHeight="1" x14ac:dyDescent="0.2">
      <c r="A59" s="386" t="s">
        <v>2275</v>
      </c>
      <c r="B59" s="398" t="s">
        <v>1061</v>
      </c>
      <c r="C59" s="398" t="s">
        <v>3333</v>
      </c>
      <c r="D59" s="399">
        <v>0</v>
      </c>
      <c r="E59" s="399">
        <v>0</v>
      </c>
      <c r="F59" s="399">
        <v>193975.41</v>
      </c>
      <c r="G59" s="524">
        <f t="shared" si="0"/>
        <v>193975.41</v>
      </c>
      <c r="H59" s="409"/>
      <c r="I59" s="407"/>
      <c r="J59" s="407"/>
      <c r="K59" s="406">
        <f t="shared" si="5"/>
        <v>0</v>
      </c>
      <c r="L59" s="406">
        <f t="shared" si="6"/>
        <v>0</v>
      </c>
      <c r="M59" s="406">
        <f t="shared" si="7"/>
        <v>193975.41</v>
      </c>
      <c r="N59" s="398" t="s">
        <v>3309</v>
      </c>
      <c r="O59" s="398"/>
      <c r="P59" s="403">
        <f>SUMIF('Antelope Bailey Split BA'!$B$7:$B$29,B59,'Antelope Bailey Split BA'!$C$7:$C$29)</f>
        <v>0</v>
      </c>
      <c r="Q59" s="403" t="str">
        <f>IF(AND(P59=1,'Plant Total by Account'!$H$1=2),"EKWRA","")</f>
        <v/>
      </c>
      <c r="S59" s="403">
        <f>SUMIF('ISO w_System Splits'!$D$524:$D$615,B59,'ISO w_System Splits'!$P$524:$P$615)</f>
        <v>0</v>
      </c>
      <c r="T59" s="403" t="str">
        <f>IF(AND(S59&lt;&gt;0,'Plant Total by Account'!$H$1=2),"EKWRA TL Change","")</f>
        <v/>
      </c>
      <c r="V59" s="77">
        <v>2309</v>
      </c>
      <c r="W59" s="404">
        <f t="shared" si="4"/>
        <v>0</v>
      </c>
    </row>
    <row r="60" spans="1:23" ht="12.75" customHeight="1" x14ac:dyDescent="0.2">
      <c r="A60" s="386" t="s">
        <v>2277</v>
      </c>
      <c r="B60" s="398" t="s">
        <v>1063</v>
      </c>
      <c r="C60" s="398" t="s">
        <v>3334</v>
      </c>
      <c r="D60" s="399">
        <v>0</v>
      </c>
      <c r="E60" s="399">
        <v>1382.76</v>
      </c>
      <c r="F60" s="399">
        <v>259608.76</v>
      </c>
      <c r="G60" s="524">
        <f t="shared" si="0"/>
        <v>260991.52000000002</v>
      </c>
      <c r="H60" s="409"/>
      <c r="I60" s="407"/>
      <c r="J60" s="407"/>
      <c r="K60" s="406">
        <f t="shared" si="5"/>
        <v>0</v>
      </c>
      <c r="L60" s="406">
        <f t="shared" si="6"/>
        <v>1382.76</v>
      </c>
      <c r="M60" s="406">
        <f t="shared" si="7"/>
        <v>259608.76</v>
      </c>
      <c r="N60" s="398" t="s">
        <v>3309</v>
      </c>
      <c r="O60" s="398"/>
      <c r="P60" s="403">
        <f>SUMIF('Antelope Bailey Split BA'!$B$7:$B$29,B60,'Antelope Bailey Split BA'!$C$7:$C$29)</f>
        <v>0</v>
      </c>
      <c r="Q60" s="403" t="str">
        <f>IF(AND(P60=1,'Plant Total by Account'!$H$1=2),"EKWRA","")</f>
        <v/>
      </c>
      <c r="S60" s="403">
        <f>SUMIF('ISO w_System Splits'!$D$524:$D$615,B60,'ISO w_System Splits'!$P$524:$P$615)</f>
        <v>0</v>
      </c>
      <c r="T60" s="403" t="str">
        <f>IF(AND(S60&lt;&gt;0,'Plant Total by Account'!$H$1=2),"EKWRA TL Change","")</f>
        <v/>
      </c>
      <c r="V60" s="77">
        <v>2314</v>
      </c>
      <c r="W60" s="404">
        <f t="shared" si="4"/>
        <v>0</v>
      </c>
    </row>
    <row r="61" spans="1:23" ht="12.75" customHeight="1" x14ac:dyDescent="0.2">
      <c r="A61" s="386" t="s">
        <v>2278</v>
      </c>
      <c r="B61" s="398" t="s">
        <v>1064</v>
      </c>
      <c r="C61" s="398" t="s">
        <v>3333</v>
      </c>
      <c r="D61" s="399">
        <v>0</v>
      </c>
      <c r="E61" s="399">
        <v>0</v>
      </c>
      <c r="F61" s="399">
        <v>36406.199999999997</v>
      </c>
      <c r="G61" s="524">
        <f t="shared" si="0"/>
        <v>36406.199999999997</v>
      </c>
      <c r="H61" s="409"/>
      <c r="I61" s="407"/>
      <c r="J61" s="407"/>
      <c r="K61" s="406">
        <f t="shared" si="5"/>
        <v>0</v>
      </c>
      <c r="L61" s="406">
        <f t="shared" si="6"/>
        <v>0</v>
      </c>
      <c r="M61" s="406">
        <f t="shared" si="7"/>
        <v>36406.199999999997</v>
      </c>
      <c r="N61" s="398" t="s">
        <v>3309</v>
      </c>
      <c r="O61" s="398"/>
      <c r="P61" s="403">
        <f>SUMIF('Antelope Bailey Split BA'!$B$7:$B$29,B61,'Antelope Bailey Split BA'!$C$7:$C$29)</f>
        <v>0</v>
      </c>
      <c r="Q61" s="403" t="str">
        <f>IF(AND(P61=1,'Plant Total by Account'!$H$1=2),"EKWRA","")</f>
        <v/>
      </c>
      <c r="S61" s="403">
        <f>SUMIF('ISO w_System Splits'!$D$524:$D$615,B61,'ISO w_System Splits'!$P$524:$P$615)</f>
        <v>0</v>
      </c>
      <c r="T61" s="403" t="str">
        <f>IF(AND(S61&lt;&gt;0,'Plant Total by Account'!$H$1=2),"EKWRA TL Change","")</f>
        <v/>
      </c>
      <c r="V61" s="77">
        <v>2315</v>
      </c>
      <c r="W61" s="404">
        <f t="shared" si="4"/>
        <v>0</v>
      </c>
    </row>
    <row r="62" spans="1:23" ht="12.75" customHeight="1" x14ac:dyDescent="0.2">
      <c r="A62" s="386" t="s">
        <v>2279</v>
      </c>
      <c r="B62" s="398" t="s">
        <v>146</v>
      </c>
      <c r="C62" s="398" t="s">
        <v>3333</v>
      </c>
      <c r="D62" s="399">
        <v>0</v>
      </c>
      <c r="E62" s="399">
        <v>0</v>
      </c>
      <c r="F62" s="399">
        <v>14929.960000000001</v>
      </c>
      <c r="G62" s="524">
        <f t="shared" si="0"/>
        <v>14929.960000000001</v>
      </c>
      <c r="H62" s="409"/>
      <c r="I62" s="407"/>
      <c r="J62" s="407"/>
      <c r="K62" s="406">
        <f t="shared" si="5"/>
        <v>0</v>
      </c>
      <c r="L62" s="406">
        <f t="shared" si="6"/>
        <v>0</v>
      </c>
      <c r="M62" s="406">
        <f t="shared" si="7"/>
        <v>14929.960000000001</v>
      </c>
      <c r="N62" s="398" t="s">
        <v>3309</v>
      </c>
      <c r="O62" s="398"/>
      <c r="P62" s="403">
        <f>SUMIF('Antelope Bailey Split BA'!$B$7:$B$29,B62,'Antelope Bailey Split BA'!$C$7:$C$29)</f>
        <v>0</v>
      </c>
      <c r="Q62" s="403" t="str">
        <f>IF(AND(P62=1,'Plant Total by Account'!$H$1=2),"EKWRA","")</f>
        <v/>
      </c>
      <c r="S62" s="403">
        <f>SUMIF('ISO w_System Splits'!$D$524:$D$615,B62,'ISO w_System Splits'!$P$524:$P$615)</f>
        <v>0</v>
      </c>
      <c r="T62" s="403" t="str">
        <f>IF(AND(S62&lt;&gt;0,'Plant Total by Account'!$H$1=2),"EKWRA TL Change","")</f>
        <v/>
      </c>
      <c r="V62" s="77">
        <v>2317</v>
      </c>
      <c r="W62" s="404">
        <f t="shared" si="4"/>
        <v>0</v>
      </c>
    </row>
    <row r="63" spans="1:23" ht="12.75" customHeight="1" x14ac:dyDescent="0.2">
      <c r="A63" s="386" t="s">
        <v>2280</v>
      </c>
      <c r="B63" s="398" t="s">
        <v>1065</v>
      </c>
      <c r="C63" s="398" t="s">
        <v>3333</v>
      </c>
      <c r="D63" s="399">
        <v>1463.92</v>
      </c>
      <c r="E63" s="399">
        <v>0</v>
      </c>
      <c r="F63" s="399">
        <v>7315.87</v>
      </c>
      <c r="G63" s="524">
        <f t="shared" si="0"/>
        <v>8779.7900000000009</v>
      </c>
      <c r="H63" s="409"/>
      <c r="I63" s="407"/>
      <c r="J63" s="407"/>
      <c r="K63" s="406">
        <f t="shared" si="5"/>
        <v>1463.92</v>
      </c>
      <c r="L63" s="406">
        <f t="shared" si="6"/>
        <v>0</v>
      </c>
      <c r="M63" s="406">
        <f t="shared" si="7"/>
        <v>7315.87</v>
      </c>
      <c r="N63" s="398" t="s">
        <v>3309</v>
      </c>
      <c r="O63" s="398"/>
      <c r="P63" s="403">
        <f>SUMIF('Antelope Bailey Split BA'!$B$7:$B$29,B63,'Antelope Bailey Split BA'!$C$7:$C$29)</f>
        <v>0</v>
      </c>
      <c r="Q63" s="403" t="str">
        <f>IF(AND(P63=1,'Plant Total by Account'!$H$1=2),"EKWRA","")</f>
        <v/>
      </c>
      <c r="S63" s="403">
        <f>SUMIF('ISO w_System Splits'!$D$524:$D$615,B63,'ISO w_System Splits'!$P$524:$P$615)</f>
        <v>0</v>
      </c>
      <c r="T63" s="403" t="str">
        <f>IF(AND(S63&lt;&gt;0,'Plant Total by Account'!$H$1=2),"EKWRA TL Change","")</f>
        <v/>
      </c>
      <c r="V63" s="77">
        <v>2318</v>
      </c>
      <c r="W63" s="404">
        <f t="shared" si="4"/>
        <v>0</v>
      </c>
    </row>
    <row r="64" spans="1:23" ht="12.75" customHeight="1" x14ac:dyDescent="0.2">
      <c r="A64" s="386" t="s">
        <v>2281</v>
      </c>
      <c r="B64" s="398" t="s">
        <v>147</v>
      </c>
      <c r="C64" s="398" t="s">
        <v>3333</v>
      </c>
      <c r="D64" s="399">
        <v>0</v>
      </c>
      <c r="E64" s="399">
        <v>0</v>
      </c>
      <c r="F64" s="399">
        <v>52080.43</v>
      </c>
      <c r="G64" s="524">
        <f t="shared" si="0"/>
        <v>52080.43</v>
      </c>
      <c r="H64" s="409"/>
      <c r="I64" s="407"/>
      <c r="J64" s="407"/>
      <c r="K64" s="406">
        <f t="shared" si="5"/>
        <v>0</v>
      </c>
      <c r="L64" s="406">
        <f t="shared" si="6"/>
        <v>0</v>
      </c>
      <c r="M64" s="406">
        <f t="shared" si="7"/>
        <v>52080.43</v>
      </c>
      <c r="N64" s="398" t="s">
        <v>3309</v>
      </c>
      <c r="O64" s="398"/>
      <c r="P64" s="403">
        <f>SUMIF('Antelope Bailey Split BA'!$B$7:$B$29,B64,'Antelope Bailey Split BA'!$C$7:$C$29)</f>
        <v>0</v>
      </c>
      <c r="Q64" s="403" t="str">
        <f>IF(AND(P64=1,'Plant Total by Account'!$H$1=2),"EKWRA","")</f>
        <v/>
      </c>
      <c r="S64" s="403">
        <f>SUMIF('ISO w_System Splits'!$D$524:$D$615,B64,'ISO w_System Splits'!$P$524:$P$615)</f>
        <v>0</v>
      </c>
      <c r="T64" s="403" t="str">
        <f>IF(AND(S64&lt;&gt;0,'Plant Total by Account'!$H$1=2),"EKWRA TL Change","")</f>
        <v/>
      </c>
      <c r="V64" s="77">
        <v>2319</v>
      </c>
      <c r="W64" s="404">
        <f t="shared" si="4"/>
        <v>0</v>
      </c>
    </row>
    <row r="65" spans="1:23" ht="12.75" customHeight="1" x14ac:dyDescent="0.2">
      <c r="A65" s="386" t="s">
        <v>2282</v>
      </c>
      <c r="B65" s="398" t="s">
        <v>1066</v>
      </c>
      <c r="C65" s="398" t="s">
        <v>3334</v>
      </c>
      <c r="D65" s="399">
        <v>0</v>
      </c>
      <c r="E65" s="399">
        <v>0</v>
      </c>
      <c r="F65" s="399">
        <v>48506.83</v>
      </c>
      <c r="G65" s="524">
        <f t="shared" si="0"/>
        <v>48506.83</v>
      </c>
      <c r="H65" s="409"/>
      <c r="I65" s="407"/>
      <c r="J65" s="407"/>
      <c r="K65" s="406">
        <f t="shared" si="5"/>
        <v>0</v>
      </c>
      <c r="L65" s="406">
        <f t="shared" si="6"/>
        <v>0</v>
      </c>
      <c r="M65" s="406">
        <f t="shared" si="7"/>
        <v>48506.83</v>
      </c>
      <c r="N65" s="398" t="s">
        <v>3309</v>
      </c>
      <c r="O65" s="398"/>
      <c r="P65" s="403">
        <f>SUMIF('Antelope Bailey Split BA'!$B$7:$B$29,B65,'Antelope Bailey Split BA'!$C$7:$C$29)</f>
        <v>0</v>
      </c>
      <c r="Q65" s="403" t="str">
        <f>IF(AND(P65=1,'Plant Total by Account'!$H$1=2),"EKWRA","")</f>
        <v/>
      </c>
      <c r="S65" s="403">
        <f>SUMIF('ISO w_System Splits'!$D$524:$D$615,B65,'ISO w_System Splits'!$P$524:$P$615)</f>
        <v>0</v>
      </c>
      <c r="T65" s="403" t="str">
        <f>IF(AND(S65&lt;&gt;0,'Plant Total by Account'!$H$1=2),"EKWRA TL Change","")</f>
        <v/>
      </c>
      <c r="V65" s="77">
        <v>2324</v>
      </c>
      <c r="W65" s="404">
        <f t="shared" si="4"/>
        <v>0</v>
      </c>
    </row>
    <row r="66" spans="1:23" ht="12.75" customHeight="1" x14ac:dyDescent="0.2">
      <c r="A66" s="386" t="s">
        <v>2283</v>
      </c>
      <c r="B66" s="398" t="s">
        <v>1067</v>
      </c>
      <c r="C66" s="398" t="s">
        <v>3334</v>
      </c>
      <c r="D66" s="399">
        <v>0</v>
      </c>
      <c r="E66" s="399">
        <v>2694.37</v>
      </c>
      <c r="F66" s="399">
        <v>49125.880000000005</v>
      </c>
      <c r="G66" s="524">
        <f t="shared" si="0"/>
        <v>51820.250000000007</v>
      </c>
      <c r="H66" s="409"/>
      <c r="I66" s="407"/>
      <c r="J66" s="407"/>
      <c r="K66" s="406">
        <f t="shared" si="5"/>
        <v>0</v>
      </c>
      <c r="L66" s="406">
        <f t="shared" si="6"/>
        <v>2694.37</v>
      </c>
      <c r="M66" s="406">
        <f t="shared" si="7"/>
        <v>49125.880000000005</v>
      </c>
      <c r="N66" s="398" t="s">
        <v>3309</v>
      </c>
      <c r="O66" s="398"/>
      <c r="P66" s="403">
        <f>SUMIF('Antelope Bailey Split BA'!$B$7:$B$29,B66,'Antelope Bailey Split BA'!$C$7:$C$29)</f>
        <v>0</v>
      </c>
      <c r="Q66" s="403" t="str">
        <f>IF(AND(P66=1,'Plant Total by Account'!$H$1=2),"EKWRA","")</f>
        <v/>
      </c>
      <c r="S66" s="403">
        <f>SUMIF('ISO w_System Splits'!$D$524:$D$615,B66,'ISO w_System Splits'!$P$524:$P$615)</f>
        <v>0</v>
      </c>
      <c r="T66" s="403" t="str">
        <f>IF(AND(S66&lt;&gt;0,'Plant Total by Account'!$H$1=2),"EKWRA TL Change","")</f>
        <v/>
      </c>
      <c r="V66" s="77">
        <v>2325</v>
      </c>
      <c r="W66" s="404">
        <f t="shared" si="4"/>
        <v>0</v>
      </c>
    </row>
    <row r="67" spans="1:23" ht="12.75" customHeight="1" x14ac:dyDescent="0.2">
      <c r="A67" s="386" t="s">
        <v>2284</v>
      </c>
      <c r="B67" s="398" t="s">
        <v>1068</v>
      </c>
      <c r="C67" s="398" t="s">
        <v>3334</v>
      </c>
      <c r="D67" s="399">
        <v>0</v>
      </c>
      <c r="E67" s="399">
        <v>0</v>
      </c>
      <c r="F67" s="399">
        <v>57268.82</v>
      </c>
      <c r="G67" s="524">
        <f t="shared" si="0"/>
        <v>57268.82</v>
      </c>
      <c r="H67" s="409"/>
      <c r="I67" s="407"/>
      <c r="J67" s="407"/>
      <c r="K67" s="406">
        <f t="shared" si="5"/>
        <v>0</v>
      </c>
      <c r="L67" s="406">
        <f t="shared" si="6"/>
        <v>0</v>
      </c>
      <c r="M67" s="406">
        <f t="shared" si="7"/>
        <v>57268.82</v>
      </c>
      <c r="N67" s="398" t="s">
        <v>3309</v>
      </c>
      <c r="O67" s="398"/>
      <c r="P67" s="403">
        <f>SUMIF('Antelope Bailey Split BA'!$B$7:$B$29,B67,'Antelope Bailey Split BA'!$C$7:$C$29)</f>
        <v>0</v>
      </c>
      <c r="Q67" s="403" t="str">
        <f>IF(AND(P67=1,'Plant Total by Account'!$H$1=2),"EKWRA","")</f>
        <v/>
      </c>
      <c r="S67" s="403">
        <f>SUMIF('ISO w_System Splits'!$D$524:$D$615,B67,'ISO w_System Splits'!$P$524:$P$615)</f>
        <v>0</v>
      </c>
      <c r="T67" s="403" t="str">
        <f>IF(AND(S67&lt;&gt;0,'Plant Total by Account'!$H$1=2),"EKWRA TL Change","")</f>
        <v/>
      </c>
      <c r="V67" s="77">
        <v>2326</v>
      </c>
      <c r="W67" s="404">
        <f t="shared" si="4"/>
        <v>0</v>
      </c>
    </row>
    <row r="68" spans="1:23" s="410" customFormat="1" ht="12.75" customHeight="1" collapsed="1" x14ac:dyDescent="0.2">
      <c r="A68" s="386" t="s">
        <v>2285</v>
      </c>
      <c r="B68" s="398" t="s">
        <v>1069</v>
      </c>
      <c r="C68" s="398" t="s">
        <v>3334</v>
      </c>
      <c r="D68" s="399">
        <v>0</v>
      </c>
      <c r="E68" s="399">
        <v>0</v>
      </c>
      <c r="F68" s="399">
        <v>50833.83</v>
      </c>
      <c r="G68" s="524">
        <f t="shared" si="0"/>
        <v>50833.83</v>
      </c>
      <c r="H68" s="409"/>
      <c r="I68" s="407"/>
      <c r="J68" s="407"/>
      <c r="K68" s="406">
        <f t="shared" si="5"/>
        <v>0</v>
      </c>
      <c r="L68" s="406">
        <f t="shared" si="6"/>
        <v>0</v>
      </c>
      <c r="M68" s="406">
        <f t="shared" si="7"/>
        <v>50833.83</v>
      </c>
      <c r="N68" s="398" t="s">
        <v>3309</v>
      </c>
      <c r="O68" s="398"/>
      <c r="P68" s="403">
        <f>SUMIF('Antelope Bailey Split BA'!$B$7:$B$29,B68,'Antelope Bailey Split BA'!$C$7:$C$29)</f>
        <v>0</v>
      </c>
      <c r="Q68" s="403" t="str">
        <f>IF(AND(P68=1,'Plant Total by Account'!$H$1=2),"EKWRA","")</f>
        <v/>
      </c>
      <c r="R68" s="387"/>
      <c r="S68" s="403">
        <f>SUMIF('ISO w_System Splits'!$D$524:$D$615,B68,'ISO w_System Splits'!$P$524:$P$615)</f>
        <v>0</v>
      </c>
      <c r="T68" s="403" t="str">
        <f>IF(AND(S68&lt;&gt;0,'Plant Total by Account'!$H$1=2),"EKWRA TL Change","")</f>
        <v/>
      </c>
      <c r="U68" s="387"/>
      <c r="V68" s="77">
        <v>2327</v>
      </c>
      <c r="W68" s="404">
        <f t="shared" si="4"/>
        <v>0</v>
      </c>
    </row>
    <row r="69" spans="1:23" ht="12.75" customHeight="1" x14ac:dyDescent="0.2">
      <c r="A69" s="386" t="s">
        <v>2286</v>
      </c>
      <c r="B69" s="398" t="s">
        <v>1070</v>
      </c>
      <c r="C69" s="398" t="s">
        <v>3334</v>
      </c>
      <c r="D69" s="399">
        <v>0</v>
      </c>
      <c r="E69" s="399">
        <v>0</v>
      </c>
      <c r="F69" s="399">
        <v>462405.92</v>
      </c>
      <c r="G69" s="524">
        <f t="shared" si="0"/>
        <v>462405.92</v>
      </c>
      <c r="H69" s="409"/>
      <c r="I69" s="407"/>
      <c r="J69" s="407"/>
      <c r="K69" s="406">
        <f t="shared" si="5"/>
        <v>0</v>
      </c>
      <c r="L69" s="406">
        <f t="shared" si="6"/>
        <v>0</v>
      </c>
      <c r="M69" s="406">
        <f t="shared" si="7"/>
        <v>462405.92</v>
      </c>
      <c r="N69" s="398" t="s">
        <v>3309</v>
      </c>
      <c r="O69" s="398"/>
      <c r="P69" s="403">
        <f>SUMIF('Antelope Bailey Split BA'!$B$7:$B$29,B69,'Antelope Bailey Split BA'!$C$7:$C$29)</f>
        <v>0</v>
      </c>
      <c r="Q69" s="403" t="str">
        <f>IF(AND(P69=1,'Plant Total by Account'!$H$1=2),"EKWRA","")</f>
        <v/>
      </c>
      <c r="S69" s="403">
        <f>SUMIF('ISO w_System Splits'!$D$524:$D$615,B69,'ISO w_System Splits'!$P$524:$P$615)</f>
        <v>0</v>
      </c>
      <c r="T69" s="403" t="str">
        <f>IF(AND(S69&lt;&gt;0,'Plant Total by Account'!$H$1=2),"EKWRA TL Change","")</f>
        <v/>
      </c>
      <c r="V69" s="77">
        <v>2328</v>
      </c>
      <c r="W69" s="404">
        <f t="shared" si="4"/>
        <v>0</v>
      </c>
    </row>
    <row r="70" spans="1:23" ht="12.75" customHeight="1" x14ac:dyDescent="0.2">
      <c r="A70" s="386" t="s">
        <v>2287</v>
      </c>
      <c r="B70" s="398" t="s">
        <v>1071</v>
      </c>
      <c r="C70" s="398" t="s">
        <v>3334</v>
      </c>
      <c r="D70" s="399">
        <v>0</v>
      </c>
      <c r="E70" s="399">
        <v>0</v>
      </c>
      <c r="F70" s="399">
        <v>205914.2</v>
      </c>
      <c r="G70" s="524">
        <f t="shared" si="0"/>
        <v>205914.2</v>
      </c>
      <c r="H70" s="409"/>
      <c r="I70" s="407"/>
      <c r="J70" s="407"/>
      <c r="K70" s="406">
        <f t="shared" si="5"/>
        <v>0</v>
      </c>
      <c r="L70" s="406">
        <f t="shared" si="6"/>
        <v>0</v>
      </c>
      <c r="M70" s="406">
        <f t="shared" si="7"/>
        <v>205914.2</v>
      </c>
      <c r="N70" s="398" t="s">
        <v>3309</v>
      </c>
      <c r="O70" s="398"/>
      <c r="P70" s="403">
        <f>SUMIF('Antelope Bailey Split BA'!$B$7:$B$29,B70,'Antelope Bailey Split BA'!$C$7:$C$29)</f>
        <v>0</v>
      </c>
      <c r="Q70" s="403" t="str">
        <f>IF(AND(P70=1,'Plant Total by Account'!$H$1=2),"EKWRA","")</f>
        <v/>
      </c>
      <c r="S70" s="403">
        <f>SUMIF('ISO w_System Splits'!$D$524:$D$615,B70,'ISO w_System Splits'!$P$524:$P$615)</f>
        <v>0</v>
      </c>
      <c r="T70" s="403" t="str">
        <f>IF(AND(S70&lt;&gt;0,'Plant Total by Account'!$H$1=2),"EKWRA TL Change","")</f>
        <v/>
      </c>
      <c r="V70" s="77">
        <v>2331</v>
      </c>
      <c r="W70" s="404">
        <f t="shared" si="4"/>
        <v>0</v>
      </c>
    </row>
    <row r="71" spans="1:23" ht="12.75" customHeight="1" x14ac:dyDescent="0.2">
      <c r="A71" s="386" t="s">
        <v>2288</v>
      </c>
      <c r="B71" s="398" t="s">
        <v>1072</v>
      </c>
      <c r="C71" s="398" t="s">
        <v>3335</v>
      </c>
      <c r="D71" s="399">
        <v>0</v>
      </c>
      <c r="E71" s="399">
        <v>7254.01</v>
      </c>
      <c r="F71" s="399">
        <v>0</v>
      </c>
      <c r="G71" s="524">
        <f t="shared" si="0"/>
        <v>7254.01</v>
      </c>
      <c r="H71" s="409"/>
      <c r="I71" s="407"/>
      <c r="J71" s="407"/>
      <c r="K71" s="406">
        <f t="shared" si="5"/>
        <v>0</v>
      </c>
      <c r="L71" s="406">
        <f t="shared" si="6"/>
        <v>7254.01</v>
      </c>
      <c r="M71" s="406">
        <f t="shared" si="7"/>
        <v>0</v>
      </c>
      <c r="N71" s="398" t="s">
        <v>3309</v>
      </c>
      <c r="O71" s="398"/>
      <c r="P71" s="403">
        <f>SUMIF('Antelope Bailey Split BA'!$B$7:$B$29,B71,'Antelope Bailey Split BA'!$C$7:$C$29)</f>
        <v>0</v>
      </c>
      <c r="Q71" s="403" t="str">
        <f>IF(AND(P71=1,'Plant Total by Account'!$H$1=2),"EKWRA","")</f>
        <v/>
      </c>
      <c r="S71" s="403">
        <f>SUMIF('ISO w_System Splits'!$D$524:$D$615,B71,'ISO w_System Splits'!$P$524:$P$615)</f>
        <v>0</v>
      </c>
      <c r="T71" s="403" t="str">
        <f>IF(AND(S71&lt;&gt;0,'Plant Total by Account'!$H$1=2),"EKWRA TL Change","")</f>
        <v/>
      </c>
      <c r="V71" s="77">
        <v>2500</v>
      </c>
      <c r="W71" s="404">
        <f t="shared" si="4"/>
        <v>0</v>
      </c>
    </row>
    <row r="72" spans="1:23" ht="12.75" customHeight="1" x14ac:dyDescent="0.2">
      <c r="A72" s="386" t="s">
        <v>2289</v>
      </c>
      <c r="B72" s="398" t="s">
        <v>1073</v>
      </c>
      <c r="C72" s="398" t="s">
        <v>2252</v>
      </c>
      <c r="D72" s="399">
        <v>0</v>
      </c>
      <c r="E72" s="399">
        <v>0</v>
      </c>
      <c r="F72" s="399">
        <v>697219.7</v>
      </c>
      <c r="G72" s="524">
        <f t="shared" si="0"/>
        <v>697219.7</v>
      </c>
      <c r="H72" s="409"/>
      <c r="I72" s="407"/>
      <c r="J72" s="407"/>
      <c r="K72" s="406">
        <f t="shared" si="5"/>
        <v>0</v>
      </c>
      <c r="L72" s="406">
        <f t="shared" si="6"/>
        <v>0</v>
      </c>
      <c r="M72" s="406">
        <f t="shared" si="7"/>
        <v>697219.7</v>
      </c>
      <c r="N72" s="398" t="s">
        <v>3309</v>
      </c>
      <c r="O72" s="398"/>
      <c r="P72" s="403">
        <f>SUMIF('Antelope Bailey Split BA'!$B$7:$B$29,B72,'Antelope Bailey Split BA'!$C$7:$C$29)</f>
        <v>0</v>
      </c>
      <c r="Q72" s="403" t="str">
        <f>IF(AND(P72=1,'Plant Total by Account'!$H$1=2),"EKWRA","")</f>
        <v/>
      </c>
      <c r="S72" s="403">
        <f>SUMIF('ISO w_System Splits'!$D$524:$D$615,B72,'ISO w_System Splits'!$P$524:$P$615)</f>
        <v>0</v>
      </c>
      <c r="T72" s="403" t="str">
        <f>IF(AND(S72&lt;&gt;0,'Plant Total by Account'!$H$1=2),"EKWRA TL Change","")</f>
        <v/>
      </c>
      <c r="V72" s="77">
        <v>2501</v>
      </c>
      <c r="W72" s="404">
        <f t="shared" si="4"/>
        <v>0</v>
      </c>
    </row>
    <row r="73" spans="1:23" ht="12.75" customHeight="1" x14ac:dyDescent="0.2">
      <c r="A73" s="386" t="s">
        <v>2290</v>
      </c>
      <c r="B73" s="398" t="s">
        <v>1074</v>
      </c>
      <c r="C73" s="398" t="s">
        <v>3329</v>
      </c>
      <c r="D73" s="399">
        <v>0</v>
      </c>
      <c r="E73" s="399">
        <v>0</v>
      </c>
      <c r="F73" s="399">
        <v>196343.73</v>
      </c>
      <c r="G73" s="524">
        <f t="shared" si="0"/>
        <v>196343.73</v>
      </c>
      <c r="H73" s="409"/>
      <c r="I73" s="407"/>
      <c r="J73" s="407"/>
      <c r="K73" s="406">
        <f t="shared" si="5"/>
        <v>0</v>
      </c>
      <c r="L73" s="406">
        <f t="shared" si="6"/>
        <v>0</v>
      </c>
      <c r="M73" s="406">
        <f t="shared" si="7"/>
        <v>196343.73</v>
      </c>
      <c r="N73" s="398" t="s">
        <v>3309</v>
      </c>
      <c r="O73" s="398"/>
      <c r="P73" s="403">
        <f>SUMIF('Antelope Bailey Split BA'!$B$7:$B$29,B73,'Antelope Bailey Split BA'!$C$7:$C$29)</f>
        <v>0</v>
      </c>
      <c r="Q73" s="403" t="str">
        <f>IF(AND(P73=1,'Plant Total by Account'!$H$1=2),"EKWRA","")</f>
        <v/>
      </c>
      <c r="S73" s="403">
        <f>SUMIF('ISO w_System Splits'!$D$524:$D$615,B73,'ISO w_System Splits'!$P$524:$P$615)</f>
        <v>0</v>
      </c>
      <c r="T73" s="403" t="str">
        <f>IF(AND(S73&lt;&gt;0,'Plant Total by Account'!$H$1=2),"EKWRA TL Change","")</f>
        <v/>
      </c>
      <c r="V73" s="77">
        <v>2503</v>
      </c>
      <c r="W73" s="404">
        <f t="shared" si="4"/>
        <v>0</v>
      </c>
    </row>
    <row r="74" spans="1:23" ht="12.75" customHeight="1" x14ac:dyDescent="0.2">
      <c r="A74" s="386" t="s">
        <v>124</v>
      </c>
      <c r="B74" s="398" t="s">
        <v>891</v>
      </c>
      <c r="C74" s="398" t="s">
        <v>3335</v>
      </c>
      <c r="D74" s="399">
        <v>0</v>
      </c>
      <c r="E74" s="399">
        <v>317627.03000000003</v>
      </c>
      <c r="F74" s="399">
        <v>5817879.2800000021</v>
      </c>
      <c r="G74" s="524">
        <f t="shared" ref="G74:G137" si="8">SUM(D74:F74)</f>
        <v>6135506.3100000024</v>
      </c>
      <c r="H74" s="406"/>
      <c r="I74" s="407"/>
      <c r="J74" s="407"/>
      <c r="K74" s="406">
        <f t="shared" si="5"/>
        <v>0</v>
      </c>
      <c r="L74" s="406">
        <f t="shared" si="6"/>
        <v>317627.03000000003</v>
      </c>
      <c r="M74" s="406">
        <f t="shared" si="7"/>
        <v>5817879.2800000021</v>
      </c>
      <c r="N74" s="398" t="s">
        <v>3309</v>
      </c>
      <c r="O74" s="398"/>
      <c r="P74" s="403">
        <f>SUMIF('Antelope Bailey Split BA'!$B$7:$B$29,B74,'Antelope Bailey Split BA'!$C$7:$C$29)</f>
        <v>0</v>
      </c>
      <c r="Q74" s="403" t="str">
        <f>IF(AND(P74=1,'Plant Total by Account'!$H$1=2),"EKWRA","")</f>
        <v/>
      </c>
      <c r="S74" s="403">
        <f>SUMIF('ISO w_System Splits'!$D$524:$D$615,B74,'ISO w_System Splits'!$P$524:$P$615)</f>
        <v>0</v>
      </c>
      <c r="T74" s="403" t="str">
        <f>IF(AND(S74&lt;&gt;0,'Plant Total by Account'!$H$1=2),"EKWRA TL Change","")</f>
        <v/>
      </c>
      <c r="V74" s="387" t="s">
        <v>891</v>
      </c>
      <c r="W74" s="404">
        <f t="shared" ref="W74:W137" si="9">E:E-I:I-L:L</f>
        <v>0</v>
      </c>
    </row>
    <row r="75" spans="1:23" ht="12.75" customHeight="1" x14ac:dyDescent="0.2">
      <c r="A75" s="386" t="s">
        <v>2291</v>
      </c>
      <c r="B75" s="398" t="s">
        <v>148</v>
      </c>
      <c r="C75" s="398" t="s">
        <v>3329</v>
      </c>
      <c r="D75" s="399">
        <v>0</v>
      </c>
      <c r="E75" s="399">
        <v>0</v>
      </c>
      <c r="F75" s="399">
        <v>120052.25000000001</v>
      </c>
      <c r="G75" s="524">
        <f t="shared" si="8"/>
        <v>120052.25000000001</v>
      </c>
      <c r="H75" s="409"/>
      <c r="I75" s="407"/>
      <c r="J75" s="407"/>
      <c r="K75" s="406">
        <f t="shared" si="5"/>
        <v>0</v>
      </c>
      <c r="L75" s="406">
        <f t="shared" si="6"/>
        <v>0</v>
      </c>
      <c r="M75" s="406">
        <f t="shared" si="7"/>
        <v>120052.25000000001</v>
      </c>
      <c r="N75" s="398" t="s">
        <v>3309</v>
      </c>
      <c r="O75" s="398"/>
      <c r="P75" s="403">
        <f>SUMIF('Antelope Bailey Split BA'!$B$7:$B$29,B75,'Antelope Bailey Split BA'!$C$7:$C$29)</f>
        <v>0</v>
      </c>
      <c r="Q75" s="403" t="str">
        <f>IF(AND(P75=1,'Plant Total by Account'!$H$1=2),"EKWRA","")</f>
        <v/>
      </c>
      <c r="S75" s="403">
        <f>SUMIF('ISO w_System Splits'!$D$524:$D$615,B75,'ISO w_System Splits'!$P$524:$P$615)</f>
        <v>0</v>
      </c>
      <c r="T75" s="403" t="str">
        <f>IF(AND(S75&lt;&gt;0,'Plant Total by Account'!$H$1=2),"EKWRA TL Change","")</f>
        <v/>
      </c>
      <c r="V75" s="77">
        <v>2512</v>
      </c>
      <c r="W75" s="404">
        <f t="shared" si="9"/>
        <v>0</v>
      </c>
    </row>
    <row r="76" spans="1:23" ht="12.75" customHeight="1" x14ac:dyDescent="0.2">
      <c r="A76" s="386" t="s">
        <v>2292</v>
      </c>
      <c r="B76" s="398" t="s">
        <v>1075</v>
      </c>
      <c r="C76" s="398" t="s">
        <v>3329</v>
      </c>
      <c r="D76" s="399">
        <v>0</v>
      </c>
      <c r="E76" s="399">
        <v>0</v>
      </c>
      <c r="F76" s="399">
        <v>175911.85</v>
      </c>
      <c r="G76" s="524">
        <f t="shared" si="8"/>
        <v>175911.85</v>
      </c>
      <c r="H76" s="409"/>
      <c r="I76" s="407"/>
      <c r="J76" s="406"/>
      <c r="K76" s="406">
        <f t="shared" si="5"/>
        <v>0</v>
      </c>
      <c r="L76" s="406">
        <f t="shared" si="6"/>
        <v>0</v>
      </c>
      <c r="M76" s="406">
        <f t="shared" si="7"/>
        <v>175911.85</v>
      </c>
      <c r="N76" s="398" t="s">
        <v>3309</v>
      </c>
      <c r="O76" s="398"/>
      <c r="P76" s="403">
        <f>SUMIF('Antelope Bailey Split BA'!$B$7:$B$29,B76,'Antelope Bailey Split BA'!$C$7:$C$29)</f>
        <v>0</v>
      </c>
      <c r="Q76" s="403" t="str">
        <f>IF(AND(P76=1,'Plant Total by Account'!$H$1=2),"EKWRA","")</f>
        <v/>
      </c>
      <c r="S76" s="403">
        <f>SUMIF('ISO w_System Splits'!$D$524:$D$615,B76,'ISO w_System Splits'!$P$524:$P$615)</f>
        <v>0</v>
      </c>
      <c r="T76" s="403" t="str">
        <f>IF(AND(S76&lt;&gt;0,'Plant Total by Account'!$H$1=2),"EKWRA TL Change","")</f>
        <v/>
      </c>
      <c r="V76" s="77">
        <v>2514</v>
      </c>
      <c r="W76" s="404">
        <f t="shared" si="9"/>
        <v>0</v>
      </c>
    </row>
    <row r="77" spans="1:23" ht="12.75" customHeight="1" x14ac:dyDescent="0.2">
      <c r="A77" s="386" t="s">
        <v>2293</v>
      </c>
      <c r="B77" s="398" t="s">
        <v>149</v>
      </c>
      <c r="C77" s="398" t="s">
        <v>3335</v>
      </c>
      <c r="D77" s="399">
        <v>0</v>
      </c>
      <c r="E77" s="399">
        <v>0</v>
      </c>
      <c r="F77" s="399">
        <v>60796.74</v>
      </c>
      <c r="G77" s="524">
        <f t="shared" si="8"/>
        <v>60796.74</v>
      </c>
      <c r="H77" s="409"/>
      <c r="I77" s="407"/>
      <c r="J77" s="407"/>
      <c r="K77" s="406">
        <f t="shared" si="5"/>
        <v>0</v>
      </c>
      <c r="L77" s="406">
        <f t="shared" si="6"/>
        <v>0</v>
      </c>
      <c r="M77" s="406">
        <f t="shared" si="7"/>
        <v>60796.74</v>
      </c>
      <c r="N77" s="398" t="s">
        <v>3309</v>
      </c>
      <c r="O77" s="398"/>
      <c r="P77" s="403">
        <f>SUMIF('Antelope Bailey Split BA'!$B$7:$B$29,B77,'Antelope Bailey Split BA'!$C$7:$C$29)</f>
        <v>0</v>
      </c>
      <c r="Q77" s="403" t="str">
        <f>IF(AND(P77=1,'Plant Total by Account'!$H$1=2),"EKWRA","")</f>
        <v/>
      </c>
      <c r="S77" s="403">
        <f>SUMIF('ISO w_System Splits'!$D$524:$D$615,B77,'ISO w_System Splits'!$P$524:$P$615)</f>
        <v>0</v>
      </c>
      <c r="T77" s="403" t="str">
        <f>IF(AND(S77&lt;&gt;0,'Plant Total by Account'!$H$1=2),"EKWRA TL Change","")</f>
        <v/>
      </c>
      <c r="V77" s="77">
        <v>2522</v>
      </c>
      <c r="W77" s="404">
        <f t="shared" si="9"/>
        <v>0</v>
      </c>
    </row>
    <row r="78" spans="1:23" ht="12.75" customHeight="1" x14ac:dyDescent="0.2">
      <c r="A78" s="386" t="s">
        <v>2294</v>
      </c>
      <c r="B78" s="398" t="s">
        <v>150</v>
      </c>
      <c r="C78" s="398" t="s">
        <v>3335</v>
      </c>
      <c r="D78" s="399">
        <v>0</v>
      </c>
      <c r="E78" s="399">
        <v>0</v>
      </c>
      <c r="F78" s="399">
        <v>1841376.7200000002</v>
      </c>
      <c r="G78" s="524">
        <f t="shared" si="8"/>
        <v>1841376.7200000002</v>
      </c>
      <c r="H78" s="409"/>
      <c r="I78" s="407"/>
      <c r="J78" s="407"/>
      <c r="K78" s="406">
        <f t="shared" si="5"/>
        <v>0</v>
      </c>
      <c r="L78" s="406">
        <f t="shared" si="6"/>
        <v>0</v>
      </c>
      <c r="M78" s="406">
        <f t="shared" si="7"/>
        <v>1841376.7200000002</v>
      </c>
      <c r="N78" s="398" t="s">
        <v>3309</v>
      </c>
      <c r="O78" s="398"/>
      <c r="P78" s="403">
        <f>SUMIF('Antelope Bailey Split BA'!$B$7:$B$29,B78,'Antelope Bailey Split BA'!$C$7:$C$29)</f>
        <v>0</v>
      </c>
      <c r="Q78" s="403" t="str">
        <f>IF(AND(P78=1,'Plant Total by Account'!$H$1=2),"EKWRA","")</f>
        <v/>
      </c>
      <c r="S78" s="403">
        <f>SUMIF('ISO w_System Splits'!$D$524:$D$615,B78,'ISO w_System Splits'!$P$524:$P$615)</f>
        <v>0</v>
      </c>
      <c r="T78" s="403" t="str">
        <f>IF(AND(S78&lt;&gt;0,'Plant Total by Account'!$H$1=2),"EKWRA TL Change","")</f>
        <v/>
      </c>
      <c r="V78" s="77">
        <v>2523</v>
      </c>
      <c r="W78" s="404">
        <f t="shared" si="9"/>
        <v>0</v>
      </c>
    </row>
    <row r="79" spans="1:23" ht="12.75" customHeight="1" x14ac:dyDescent="0.2">
      <c r="A79" s="386" t="s">
        <v>2295</v>
      </c>
      <c r="B79" s="398" t="s">
        <v>151</v>
      </c>
      <c r="C79" s="398" t="s">
        <v>3335</v>
      </c>
      <c r="D79" s="399">
        <v>0</v>
      </c>
      <c r="E79" s="399">
        <v>0</v>
      </c>
      <c r="F79" s="399">
        <v>88568.63</v>
      </c>
      <c r="G79" s="524">
        <f t="shared" si="8"/>
        <v>88568.63</v>
      </c>
      <c r="H79" s="409"/>
      <c r="I79" s="407"/>
      <c r="J79" s="407"/>
      <c r="K79" s="406">
        <f t="shared" si="5"/>
        <v>0</v>
      </c>
      <c r="L79" s="406">
        <f t="shared" si="6"/>
        <v>0</v>
      </c>
      <c r="M79" s="406">
        <f t="shared" si="7"/>
        <v>88568.63</v>
      </c>
      <c r="N79" s="398" t="s">
        <v>3309</v>
      </c>
      <c r="O79" s="398"/>
      <c r="P79" s="403">
        <f>SUMIF('Antelope Bailey Split BA'!$B$7:$B$29,B79,'Antelope Bailey Split BA'!$C$7:$C$29)</f>
        <v>0</v>
      </c>
      <c r="Q79" s="403" t="str">
        <f>IF(AND(P79=1,'Plant Total by Account'!$H$1=2),"EKWRA","")</f>
        <v/>
      </c>
      <c r="S79" s="403">
        <f>SUMIF('ISO w_System Splits'!$D$524:$D$615,B79,'ISO w_System Splits'!$P$524:$P$615)</f>
        <v>0</v>
      </c>
      <c r="T79" s="403" t="str">
        <f>IF(AND(S79&lt;&gt;0,'Plant Total by Account'!$H$1=2),"EKWRA TL Change","")</f>
        <v/>
      </c>
      <c r="V79" s="77">
        <v>2524</v>
      </c>
      <c r="W79" s="404">
        <f t="shared" si="9"/>
        <v>0</v>
      </c>
    </row>
    <row r="80" spans="1:23" ht="12.75" customHeight="1" x14ac:dyDescent="0.2">
      <c r="A80" s="386" t="s">
        <v>2296</v>
      </c>
      <c r="B80" s="398" t="s">
        <v>1076</v>
      </c>
      <c r="C80" s="398" t="s">
        <v>3335</v>
      </c>
      <c r="D80" s="399">
        <v>0</v>
      </c>
      <c r="E80" s="399">
        <v>0</v>
      </c>
      <c r="F80" s="399">
        <v>43037.46</v>
      </c>
      <c r="G80" s="524">
        <f t="shared" si="8"/>
        <v>43037.46</v>
      </c>
      <c r="H80" s="409"/>
      <c r="I80" s="407"/>
      <c r="J80" s="407"/>
      <c r="K80" s="406">
        <f t="shared" si="5"/>
        <v>0</v>
      </c>
      <c r="L80" s="406">
        <f t="shared" si="6"/>
        <v>0</v>
      </c>
      <c r="M80" s="406">
        <f t="shared" si="7"/>
        <v>43037.46</v>
      </c>
      <c r="N80" s="398" t="s">
        <v>3309</v>
      </c>
      <c r="O80" s="398"/>
      <c r="P80" s="403">
        <f>SUMIF('Antelope Bailey Split BA'!$B$7:$B$29,B80,'Antelope Bailey Split BA'!$C$7:$C$29)</f>
        <v>0</v>
      </c>
      <c r="Q80" s="403" t="str">
        <f>IF(AND(P80=1,'Plant Total by Account'!$H$1=2),"EKWRA","")</f>
        <v/>
      </c>
      <c r="S80" s="403">
        <f>SUMIF('ISO w_System Splits'!$D$524:$D$615,B80,'ISO w_System Splits'!$P$524:$P$615)</f>
        <v>0</v>
      </c>
      <c r="T80" s="403" t="str">
        <f>IF(AND(S80&lt;&gt;0,'Plant Total by Account'!$H$1=2),"EKWRA TL Change","")</f>
        <v/>
      </c>
      <c r="V80" s="77">
        <v>2525</v>
      </c>
      <c r="W80" s="404">
        <f t="shared" si="9"/>
        <v>0</v>
      </c>
    </row>
    <row r="81" spans="1:23" ht="12.75" customHeight="1" x14ac:dyDescent="0.2">
      <c r="A81" s="386" t="s">
        <v>2297</v>
      </c>
      <c r="B81" s="398" t="s">
        <v>1077</v>
      </c>
      <c r="C81" s="398" t="s">
        <v>3335</v>
      </c>
      <c r="D81" s="399">
        <v>0</v>
      </c>
      <c r="E81" s="399">
        <v>0</v>
      </c>
      <c r="F81" s="399">
        <v>39097.75</v>
      </c>
      <c r="G81" s="524">
        <f t="shared" si="8"/>
        <v>39097.75</v>
      </c>
      <c r="H81" s="409"/>
      <c r="I81" s="407"/>
      <c r="J81" s="407"/>
      <c r="K81" s="406">
        <f t="shared" si="5"/>
        <v>0</v>
      </c>
      <c r="L81" s="406">
        <f t="shared" si="6"/>
        <v>0</v>
      </c>
      <c r="M81" s="406">
        <f t="shared" si="7"/>
        <v>39097.75</v>
      </c>
      <c r="N81" s="398" t="s">
        <v>3309</v>
      </c>
      <c r="O81" s="398"/>
      <c r="P81" s="403">
        <f>SUMIF('Antelope Bailey Split BA'!$B$7:$B$29,B81,'Antelope Bailey Split BA'!$C$7:$C$29)</f>
        <v>0</v>
      </c>
      <c r="Q81" s="403" t="str">
        <f>IF(AND(P81=1,'Plant Total by Account'!$H$1=2),"EKWRA","")</f>
        <v/>
      </c>
      <c r="S81" s="403">
        <f>SUMIF('ISO w_System Splits'!$D$524:$D$615,B81,'ISO w_System Splits'!$P$524:$P$615)</f>
        <v>0</v>
      </c>
      <c r="T81" s="403" t="str">
        <f>IF(AND(S81&lt;&gt;0,'Plant Total by Account'!$H$1=2),"EKWRA TL Change","")</f>
        <v/>
      </c>
      <c r="V81" s="77">
        <v>2526</v>
      </c>
      <c r="W81" s="404">
        <f t="shared" si="9"/>
        <v>0</v>
      </c>
    </row>
    <row r="82" spans="1:23" ht="12.75" customHeight="1" x14ac:dyDescent="0.2">
      <c r="A82" s="386" t="s">
        <v>1864</v>
      </c>
      <c r="B82" s="398" t="s">
        <v>1078</v>
      </c>
      <c r="C82" s="398" t="s">
        <v>3335</v>
      </c>
      <c r="D82" s="399">
        <v>0</v>
      </c>
      <c r="E82" s="399">
        <v>1342.64</v>
      </c>
      <c r="F82" s="399">
        <v>12150.29</v>
      </c>
      <c r="G82" s="524">
        <f t="shared" si="8"/>
        <v>13492.93</v>
      </c>
      <c r="H82" s="409"/>
      <c r="I82" s="407"/>
      <c r="J82" s="407"/>
      <c r="K82" s="406">
        <f t="shared" si="5"/>
        <v>0</v>
      </c>
      <c r="L82" s="406">
        <f t="shared" si="6"/>
        <v>1342.64</v>
      </c>
      <c r="M82" s="406">
        <f t="shared" si="7"/>
        <v>12150.29</v>
      </c>
      <c r="N82" s="398" t="s">
        <v>3309</v>
      </c>
      <c r="O82" s="398"/>
      <c r="P82" s="403">
        <f>SUMIF('Antelope Bailey Split BA'!$B$7:$B$29,B82,'Antelope Bailey Split BA'!$C$7:$C$29)</f>
        <v>0</v>
      </c>
      <c r="Q82" s="403" t="str">
        <f>IF(AND(P82=1,'Plant Total by Account'!$H$1=2),"EKWRA","")</f>
        <v/>
      </c>
      <c r="S82" s="403">
        <f>SUMIF('ISO w_System Splits'!$D$524:$D$615,B82,'ISO w_System Splits'!$P$524:$P$615)</f>
        <v>0</v>
      </c>
      <c r="T82" s="403" t="str">
        <f>IF(AND(S82&lt;&gt;0,'Plant Total by Account'!$H$1=2),"EKWRA TL Change","")</f>
        <v/>
      </c>
      <c r="V82" s="77">
        <v>2553</v>
      </c>
      <c r="W82" s="404">
        <f t="shared" si="9"/>
        <v>0</v>
      </c>
    </row>
    <row r="83" spans="1:23" ht="12.75" customHeight="1" x14ac:dyDescent="0.2">
      <c r="A83" s="386" t="s">
        <v>2299</v>
      </c>
      <c r="B83" s="398" t="s">
        <v>152</v>
      </c>
      <c r="C83" s="398" t="s">
        <v>3329</v>
      </c>
      <c r="D83" s="399">
        <v>2118.52</v>
      </c>
      <c r="E83" s="399">
        <v>290687.31</v>
      </c>
      <c r="F83" s="399">
        <v>3525578.1599999997</v>
      </c>
      <c r="G83" s="524">
        <f t="shared" si="8"/>
        <v>3818383.9899999998</v>
      </c>
      <c r="H83" s="409"/>
      <c r="I83" s="407"/>
      <c r="J83" s="407"/>
      <c r="K83" s="406">
        <f t="shared" si="5"/>
        <v>2118.52</v>
      </c>
      <c r="L83" s="406">
        <f t="shared" si="6"/>
        <v>290687.31</v>
      </c>
      <c r="M83" s="406">
        <f t="shared" si="7"/>
        <v>3525578.1599999997</v>
      </c>
      <c r="N83" s="398" t="s">
        <v>3309</v>
      </c>
      <c r="O83" s="398"/>
      <c r="P83" s="403">
        <f>SUMIF('Antelope Bailey Split BA'!$B$7:$B$29,B83,'Antelope Bailey Split BA'!$C$7:$C$29)</f>
        <v>0</v>
      </c>
      <c r="Q83" s="403" t="str">
        <f>IF(AND(P83=1,'Plant Total by Account'!$H$1=2),"EKWRA","")</f>
        <v/>
      </c>
      <c r="S83" s="403">
        <f>SUMIF('ISO w_System Splits'!$D$524:$D$615,B83,'ISO w_System Splits'!$P$524:$P$615)</f>
        <v>0</v>
      </c>
      <c r="T83" s="403" t="str">
        <f>IF(AND(S83&lt;&gt;0,'Plant Total by Account'!$H$1=2),"EKWRA TL Change","")</f>
        <v/>
      </c>
      <c r="V83" s="77">
        <v>2557</v>
      </c>
      <c r="W83" s="404">
        <f t="shared" si="9"/>
        <v>0</v>
      </c>
    </row>
    <row r="84" spans="1:23" ht="12.75" customHeight="1" x14ac:dyDescent="0.2">
      <c r="A84" s="386" t="s">
        <v>2300</v>
      </c>
      <c r="B84" s="398" t="s">
        <v>153</v>
      </c>
      <c r="C84" s="398" t="s">
        <v>3329</v>
      </c>
      <c r="D84" s="399">
        <v>343.51</v>
      </c>
      <c r="E84" s="399">
        <v>250528.12999999998</v>
      </c>
      <c r="F84" s="399">
        <v>2072017.9399999997</v>
      </c>
      <c r="G84" s="524">
        <f t="shared" si="8"/>
        <v>2322889.5799999996</v>
      </c>
      <c r="H84" s="409"/>
      <c r="I84" s="407"/>
      <c r="J84" s="407"/>
      <c r="K84" s="406">
        <f t="shared" si="5"/>
        <v>343.51</v>
      </c>
      <c r="L84" s="406">
        <f t="shared" si="6"/>
        <v>250528.12999999998</v>
      </c>
      <c r="M84" s="406">
        <f t="shared" si="7"/>
        <v>2072017.9399999997</v>
      </c>
      <c r="N84" s="398" t="s">
        <v>3309</v>
      </c>
      <c r="O84" s="398"/>
      <c r="P84" s="403">
        <f>SUMIF('Antelope Bailey Split BA'!$B$7:$B$29,B84,'Antelope Bailey Split BA'!$C$7:$C$29)</f>
        <v>0</v>
      </c>
      <c r="Q84" s="403" t="str">
        <f>IF(AND(P84=1,'Plant Total by Account'!$H$1=2),"EKWRA","")</f>
        <v/>
      </c>
      <c r="S84" s="403">
        <f>SUMIF('ISO w_System Splits'!$D$524:$D$615,B84,'ISO w_System Splits'!$P$524:$P$615)</f>
        <v>0</v>
      </c>
      <c r="T84" s="403" t="str">
        <f>IF(AND(S84&lt;&gt;0,'Plant Total by Account'!$H$1=2),"EKWRA TL Change","")</f>
        <v/>
      </c>
      <c r="V84" s="77">
        <v>2561</v>
      </c>
      <c r="W84" s="404">
        <f t="shared" si="9"/>
        <v>0</v>
      </c>
    </row>
    <row r="85" spans="1:23" ht="12.75" customHeight="1" x14ac:dyDescent="0.2">
      <c r="A85" s="386" t="s">
        <v>2302</v>
      </c>
      <c r="B85" s="398" t="s">
        <v>1080</v>
      </c>
      <c r="C85" s="398" t="s">
        <v>3329</v>
      </c>
      <c r="D85" s="399">
        <v>0</v>
      </c>
      <c r="E85" s="399">
        <v>100771.55000000002</v>
      </c>
      <c r="F85" s="399">
        <v>1046644.6199999998</v>
      </c>
      <c r="G85" s="524">
        <f t="shared" si="8"/>
        <v>1147416.1699999997</v>
      </c>
      <c r="H85" s="409"/>
      <c r="I85" s="407"/>
      <c r="J85" s="407"/>
      <c r="K85" s="406">
        <f t="shared" si="5"/>
        <v>0</v>
      </c>
      <c r="L85" s="406">
        <f t="shared" si="6"/>
        <v>100771.55000000002</v>
      </c>
      <c r="M85" s="406">
        <f t="shared" si="7"/>
        <v>1046644.6199999998</v>
      </c>
      <c r="N85" s="398" t="s">
        <v>3309</v>
      </c>
      <c r="O85" s="398"/>
      <c r="P85" s="403">
        <f>SUMIF('Antelope Bailey Split BA'!$B$7:$B$29,B85,'Antelope Bailey Split BA'!$C$7:$C$29)</f>
        <v>0</v>
      </c>
      <c r="Q85" s="403" t="str">
        <f>IF(AND(P85=1,'Plant Total by Account'!$H$1=2),"EKWRA","")</f>
        <v/>
      </c>
      <c r="S85" s="403">
        <f>SUMIF('ISO w_System Splits'!$D$524:$D$615,B85,'ISO w_System Splits'!$P$524:$P$615)</f>
        <v>0</v>
      </c>
      <c r="T85" s="403" t="str">
        <f>IF(AND(S85&lt;&gt;0,'Plant Total by Account'!$H$1=2),"EKWRA TL Change","")</f>
        <v/>
      </c>
      <c r="V85" s="77">
        <v>2571</v>
      </c>
      <c r="W85" s="404">
        <f t="shared" si="9"/>
        <v>0</v>
      </c>
    </row>
    <row r="86" spans="1:23" ht="12.75" customHeight="1" x14ac:dyDescent="0.2">
      <c r="A86" s="386" t="s">
        <v>2303</v>
      </c>
      <c r="B86" s="398" t="s">
        <v>156</v>
      </c>
      <c r="C86" s="398" t="s">
        <v>3335</v>
      </c>
      <c r="D86" s="399">
        <v>5433.16</v>
      </c>
      <c r="E86" s="399">
        <v>0</v>
      </c>
      <c r="F86" s="399">
        <v>631783.46999999986</v>
      </c>
      <c r="G86" s="524">
        <f t="shared" si="8"/>
        <v>637216.62999999989</v>
      </c>
      <c r="H86" s="409"/>
      <c r="I86" s="407"/>
      <c r="J86" s="407"/>
      <c r="K86" s="406">
        <f t="shared" si="5"/>
        <v>5433.16</v>
      </c>
      <c r="L86" s="406">
        <f t="shared" si="6"/>
        <v>0</v>
      </c>
      <c r="M86" s="406">
        <f t="shared" si="7"/>
        <v>631783.46999999986</v>
      </c>
      <c r="N86" s="398" t="s">
        <v>3309</v>
      </c>
      <c r="O86" s="398"/>
      <c r="P86" s="403">
        <f>SUMIF('Antelope Bailey Split BA'!$B$7:$B$29,B86,'Antelope Bailey Split BA'!$C$7:$C$29)</f>
        <v>0</v>
      </c>
      <c r="Q86" s="403" t="str">
        <f>IF(AND(P86=1,'Plant Total by Account'!$H$1=2),"EKWRA","")</f>
        <v/>
      </c>
      <c r="S86" s="403">
        <f>SUMIF('ISO w_System Splits'!$D$524:$D$615,B86,'ISO w_System Splits'!$P$524:$P$615)</f>
        <v>0</v>
      </c>
      <c r="T86" s="403" t="str">
        <f>IF(AND(S86&lt;&gt;0,'Plant Total by Account'!$H$1=2),"EKWRA TL Change","")</f>
        <v/>
      </c>
      <c r="V86" s="77">
        <v>2582</v>
      </c>
      <c r="W86" s="404">
        <f t="shared" si="9"/>
        <v>0</v>
      </c>
    </row>
    <row r="87" spans="1:23" ht="12.75" customHeight="1" x14ac:dyDescent="0.2">
      <c r="A87" s="386" t="s">
        <v>2304</v>
      </c>
      <c r="B87" s="398" t="s">
        <v>160</v>
      </c>
      <c r="C87" s="398" t="s">
        <v>3335</v>
      </c>
      <c r="D87" s="399">
        <v>0</v>
      </c>
      <c r="E87" s="399">
        <v>0</v>
      </c>
      <c r="F87" s="399">
        <v>-229.70000000000002</v>
      </c>
      <c r="G87" s="524">
        <f t="shared" si="8"/>
        <v>-229.70000000000002</v>
      </c>
      <c r="H87" s="409"/>
      <c r="I87" s="407"/>
      <c r="J87" s="407"/>
      <c r="K87" s="406">
        <f t="shared" si="5"/>
        <v>0</v>
      </c>
      <c r="L87" s="406">
        <f t="shared" si="6"/>
        <v>0</v>
      </c>
      <c r="M87" s="406">
        <f t="shared" si="7"/>
        <v>-229.70000000000002</v>
      </c>
      <c r="N87" s="398" t="s">
        <v>3309</v>
      </c>
      <c r="O87" s="398"/>
      <c r="P87" s="403">
        <f>SUMIF('Antelope Bailey Split BA'!$B$7:$B$29,B87,'Antelope Bailey Split BA'!$C$7:$C$29)</f>
        <v>0</v>
      </c>
      <c r="Q87" s="403" t="str">
        <f>IF(AND(P87=1,'Plant Total by Account'!$H$1=2),"EKWRA","")</f>
        <v/>
      </c>
      <c r="S87" s="403">
        <f>SUMIF('ISO w_System Splits'!$D$524:$D$615,B87,'ISO w_System Splits'!$P$524:$P$615)</f>
        <v>0</v>
      </c>
      <c r="T87" s="403" t="str">
        <f>IF(AND(S87&lt;&gt;0,'Plant Total by Account'!$H$1=2),"EKWRA TL Change","")</f>
        <v/>
      </c>
      <c r="V87" s="77">
        <v>2598</v>
      </c>
      <c r="W87" s="404">
        <f t="shared" si="9"/>
        <v>0</v>
      </c>
    </row>
    <row r="88" spans="1:23" ht="12.75" customHeight="1" x14ac:dyDescent="0.2">
      <c r="A88" s="386" t="s">
        <v>1872</v>
      </c>
      <c r="B88" s="398" t="s">
        <v>1081</v>
      </c>
      <c r="C88" s="398" t="s">
        <v>3333</v>
      </c>
      <c r="D88" s="399">
        <v>714.16</v>
      </c>
      <c r="E88" s="399">
        <v>0</v>
      </c>
      <c r="F88" s="399">
        <v>0</v>
      </c>
      <c r="G88" s="524">
        <f t="shared" si="8"/>
        <v>714.16</v>
      </c>
      <c r="H88" s="409"/>
      <c r="I88" s="407"/>
      <c r="J88" s="407"/>
      <c r="K88" s="406">
        <f t="shared" si="5"/>
        <v>714.16</v>
      </c>
      <c r="L88" s="406">
        <f t="shared" si="6"/>
        <v>0</v>
      </c>
      <c r="M88" s="406">
        <f t="shared" si="7"/>
        <v>0</v>
      </c>
      <c r="N88" s="398" t="s">
        <v>3309</v>
      </c>
      <c r="O88" s="398"/>
      <c r="P88" s="403">
        <f>SUMIF('Antelope Bailey Split BA'!$B$7:$B$29,B88,'Antelope Bailey Split BA'!$C$7:$C$29)</f>
        <v>0</v>
      </c>
      <c r="Q88" s="403" t="str">
        <f>IF(AND(P88=1,'Plant Total by Account'!$H$1=2),"EKWRA","")</f>
        <v/>
      </c>
      <c r="S88" s="403">
        <f>SUMIF('ISO w_System Splits'!$D$524:$D$615,B88,'ISO w_System Splits'!$P$524:$P$615)</f>
        <v>0</v>
      </c>
      <c r="T88" s="403" t="str">
        <f>IF(AND(S88&lt;&gt;0,'Plant Total by Account'!$H$1=2),"EKWRA TL Change","")</f>
        <v/>
      </c>
      <c r="V88" s="77">
        <v>3717</v>
      </c>
      <c r="W88" s="404">
        <f t="shared" si="9"/>
        <v>0</v>
      </c>
    </row>
    <row r="89" spans="1:23" ht="12.75" customHeight="1" x14ac:dyDescent="0.2">
      <c r="A89" s="386" t="s">
        <v>2335</v>
      </c>
      <c r="B89" s="398" t="s">
        <v>1117</v>
      </c>
      <c r="C89" s="398" t="s">
        <v>3331</v>
      </c>
      <c r="D89" s="399">
        <v>0</v>
      </c>
      <c r="E89" s="399">
        <v>0</v>
      </c>
      <c r="F89" s="399">
        <v>15138.34</v>
      </c>
      <c r="G89" s="524">
        <f t="shared" si="8"/>
        <v>15138.34</v>
      </c>
      <c r="H89" s="409"/>
      <c r="I89" s="407"/>
      <c r="J89" s="406"/>
      <c r="K89" s="406">
        <f t="shared" si="5"/>
        <v>0</v>
      </c>
      <c r="L89" s="406">
        <f t="shared" si="6"/>
        <v>0</v>
      </c>
      <c r="M89" s="406">
        <f t="shared" si="7"/>
        <v>15138.34</v>
      </c>
      <c r="N89" s="398" t="s">
        <v>3309</v>
      </c>
      <c r="O89" s="398"/>
      <c r="P89" s="403">
        <f>SUMIF('Antelope Bailey Split BA'!$B$7:$B$29,B89,'Antelope Bailey Split BA'!$C$7:$C$29)</f>
        <v>0</v>
      </c>
      <c r="Q89" s="403" t="str">
        <f>IF(AND(P89=1,'Plant Total by Account'!$H$1=2),"EKWRA","")</f>
        <v/>
      </c>
      <c r="S89" s="403">
        <f>SUMIF('ISO w_System Splits'!$D$524:$D$615,B89,'ISO w_System Splits'!$P$524:$P$615)</f>
        <v>0</v>
      </c>
      <c r="T89" s="403" t="str">
        <f>IF(AND(S89&lt;&gt;0,'Plant Total by Account'!$H$1=2),"EKWRA TL Change","")</f>
        <v/>
      </c>
      <c r="V89" s="77">
        <v>5016</v>
      </c>
      <c r="W89" s="404">
        <f t="shared" si="9"/>
        <v>0</v>
      </c>
    </row>
    <row r="90" spans="1:23" ht="12.75" customHeight="1" x14ac:dyDescent="0.2">
      <c r="A90" s="386" t="s">
        <v>2338</v>
      </c>
      <c r="B90" s="398" t="s">
        <v>1120</v>
      </c>
      <c r="C90" s="398" t="s">
        <v>3331</v>
      </c>
      <c r="D90" s="399">
        <v>0</v>
      </c>
      <c r="E90" s="399">
        <v>0</v>
      </c>
      <c r="F90" s="399">
        <v>963824.40999999992</v>
      </c>
      <c r="G90" s="524">
        <f t="shared" si="8"/>
        <v>963824.40999999992</v>
      </c>
      <c r="H90" s="409"/>
      <c r="I90" s="407"/>
      <c r="J90" s="407"/>
      <c r="K90" s="406">
        <f t="shared" si="5"/>
        <v>0</v>
      </c>
      <c r="L90" s="406">
        <f t="shared" si="6"/>
        <v>0</v>
      </c>
      <c r="M90" s="406">
        <f t="shared" si="7"/>
        <v>963824.40999999992</v>
      </c>
      <c r="N90" s="398" t="s">
        <v>3309</v>
      </c>
      <c r="O90" s="398"/>
      <c r="P90" s="403">
        <f>SUMIF('Antelope Bailey Split BA'!$B$7:$B$29,B90,'Antelope Bailey Split BA'!$C$7:$C$29)</f>
        <v>0</v>
      </c>
      <c r="Q90" s="403" t="str">
        <f>IF(AND(P90=1,'Plant Total by Account'!$H$1=2),"EKWRA","")</f>
        <v/>
      </c>
      <c r="S90" s="403">
        <f>SUMIF('ISO w_System Splits'!$D$524:$D$615,B90,'ISO w_System Splits'!$P$524:$P$615)</f>
        <v>0</v>
      </c>
      <c r="T90" s="403" t="str">
        <f>IF(AND(S90&lt;&gt;0,'Plant Total by Account'!$H$1=2),"EKWRA TL Change","")</f>
        <v/>
      </c>
      <c r="V90" s="77">
        <v>5022</v>
      </c>
      <c r="W90" s="404">
        <f t="shared" si="9"/>
        <v>0</v>
      </c>
    </row>
    <row r="91" spans="1:23" ht="12.75" customHeight="1" x14ac:dyDescent="0.2">
      <c r="A91" s="386" t="s">
        <v>2354</v>
      </c>
      <c r="B91" s="398" t="s">
        <v>1135</v>
      </c>
      <c r="C91" s="398"/>
      <c r="D91" s="399">
        <v>48136.399999999994</v>
      </c>
      <c r="E91" s="399">
        <v>156226.73000000001</v>
      </c>
      <c r="F91" s="399">
        <v>3162424.0700000012</v>
      </c>
      <c r="G91" s="524">
        <f t="shared" si="8"/>
        <v>3366787.2000000011</v>
      </c>
      <c r="H91" s="409"/>
      <c r="I91" s="407"/>
      <c r="J91" s="407"/>
      <c r="K91" s="406">
        <f t="shared" si="5"/>
        <v>48136.399999999994</v>
      </c>
      <c r="L91" s="406">
        <f t="shared" si="6"/>
        <v>156226.73000000001</v>
      </c>
      <c r="M91" s="406">
        <f t="shared" si="7"/>
        <v>3162424.0700000012</v>
      </c>
      <c r="N91" s="398" t="s">
        <v>3309</v>
      </c>
      <c r="O91" s="398"/>
      <c r="P91" s="403">
        <f>SUMIF('Antelope Bailey Split BA'!$B$7:$B$29,B91,'Antelope Bailey Split BA'!$C$7:$C$29)</f>
        <v>0</v>
      </c>
      <c r="Q91" s="403" t="str">
        <f>IF(AND(P91=1,'Plant Total by Account'!$H$1=2),"EKWRA","")</f>
        <v/>
      </c>
      <c r="S91" s="403">
        <f>SUMIF('ISO w_System Splits'!$D$524:$D$615,B91,'ISO w_System Splits'!$P$524:$P$615)</f>
        <v>0</v>
      </c>
      <c r="T91" s="403" t="str">
        <f>IF(AND(S91&lt;&gt;0,'Plant Total by Account'!$H$1=2),"EKWRA TL Change","")</f>
        <v/>
      </c>
      <c r="V91" s="77">
        <v>5046</v>
      </c>
      <c r="W91" s="404">
        <f t="shared" si="9"/>
        <v>0</v>
      </c>
    </row>
    <row r="92" spans="1:23" ht="12.75" customHeight="1" x14ac:dyDescent="0.2">
      <c r="A92" s="386" t="s">
        <v>1906</v>
      </c>
      <c r="B92" s="398" t="s">
        <v>1138</v>
      </c>
      <c r="C92" s="398" t="s">
        <v>3331</v>
      </c>
      <c r="D92" s="399">
        <v>158170.01999999999</v>
      </c>
      <c r="E92" s="399">
        <v>34482.550000000003</v>
      </c>
      <c r="F92" s="399">
        <v>5075770.3000000007</v>
      </c>
      <c r="G92" s="524">
        <f t="shared" si="8"/>
        <v>5268422.870000001</v>
      </c>
      <c r="H92" s="400"/>
      <c r="I92" s="400"/>
      <c r="J92" s="400"/>
      <c r="K92" s="400">
        <f t="shared" si="5"/>
        <v>158170.01999999999</v>
      </c>
      <c r="L92" s="400">
        <f t="shared" si="6"/>
        <v>34482.550000000003</v>
      </c>
      <c r="M92" s="400">
        <f t="shared" si="7"/>
        <v>5075770.3000000007</v>
      </c>
      <c r="N92" s="398" t="s">
        <v>3309</v>
      </c>
      <c r="O92" s="398"/>
      <c r="P92" s="403">
        <f>SUMIF('Antelope Bailey Split BA'!$B$7:$B$29,B92,'Antelope Bailey Split BA'!$C$7:$C$29)</f>
        <v>0</v>
      </c>
      <c r="Q92" s="403" t="str">
        <f>IF(AND(P92=1,'Plant Total by Account'!$H$1=2),"EKWRA","")</f>
        <v/>
      </c>
      <c r="S92" s="403">
        <f>SUMIF('ISO w_System Splits'!$D$524:$D$615,B92,'ISO w_System Splits'!$P$524:$P$615)</f>
        <v>0</v>
      </c>
      <c r="T92" s="403" t="str">
        <f>IF(AND(S92&lt;&gt;0,'Plant Total by Account'!$H$1=2),"EKWRA TL Change","")</f>
        <v/>
      </c>
      <c r="V92" s="77">
        <v>5049</v>
      </c>
      <c r="W92" s="404">
        <f t="shared" si="9"/>
        <v>0</v>
      </c>
    </row>
    <row r="93" spans="1:23" ht="12.75" customHeight="1" x14ac:dyDescent="0.2">
      <c r="A93" s="386" t="s">
        <v>2358</v>
      </c>
      <c r="B93" s="398" t="s">
        <v>1140</v>
      </c>
      <c r="C93" s="398" t="s">
        <v>3334</v>
      </c>
      <c r="D93" s="399">
        <v>13373.230000000001</v>
      </c>
      <c r="E93" s="399">
        <v>1440369.0799999998</v>
      </c>
      <c r="F93" s="399">
        <v>28242896.400000002</v>
      </c>
      <c r="G93" s="524">
        <f t="shared" si="8"/>
        <v>29696638.710000001</v>
      </c>
      <c r="H93" s="409"/>
      <c r="I93" s="407"/>
      <c r="J93" s="407"/>
      <c r="K93" s="406">
        <f t="shared" si="5"/>
        <v>13373.230000000001</v>
      </c>
      <c r="L93" s="406">
        <f t="shared" si="6"/>
        <v>1440369.0799999998</v>
      </c>
      <c r="M93" s="406">
        <f t="shared" si="7"/>
        <v>28242896.400000002</v>
      </c>
      <c r="N93" s="398" t="s">
        <v>3309</v>
      </c>
      <c r="O93" s="398"/>
      <c r="P93" s="403">
        <f>SUMIF('Antelope Bailey Split BA'!$B$7:$B$29,B93,'Antelope Bailey Split BA'!$C$7:$C$29)</f>
        <v>0</v>
      </c>
      <c r="Q93" s="403" t="str">
        <f>IF(AND(P93=1,'Plant Total by Account'!$H$1=2),"EKWRA","")</f>
        <v/>
      </c>
      <c r="S93" s="403">
        <f>SUMIF('ISO w_System Splits'!$D$524:$D$615,B93,'ISO w_System Splits'!$P$524:$P$615)</f>
        <v>0</v>
      </c>
      <c r="T93" s="403" t="str">
        <f>IF(AND(S93&lt;&gt;0,'Plant Total by Account'!$H$1=2),"EKWRA TL Change","")</f>
        <v/>
      </c>
      <c r="V93" s="77">
        <v>5051</v>
      </c>
      <c r="W93" s="404">
        <f t="shared" si="9"/>
        <v>0</v>
      </c>
    </row>
    <row r="94" spans="1:23" ht="12.75" customHeight="1" x14ac:dyDescent="0.2">
      <c r="A94" s="386" t="s">
        <v>2371</v>
      </c>
      <c r="B94" s="398" t="s">
        <v>1151</v>
      </c>
      <c r="C94" s="398" t="s">
        <v>3331</v>
      </c>
      <c r="D94" s="399">
        <v>0</v>
      </c>
      <c r="E94" s="399">
        <v>0</v>
      </c>
      <c r="F94" s="399">
        <v>1335378.4800000002</v>
      </c>
      <c r="G94" s="524">
        <f t="shared" si="8"/>
        <v>1335378.4800000002</v>
      </c>
      <c r="H94" s="409"/>
      <c r="I94" s="407"/>
      <c r="J94" s="407"/>
      <c r="K94" s="406">
        <f t="shared" si="5"/>
        <v>0</v>
      </c>
      <c r="L94" s="406">
        <f t="shared" si="6"/>
        <v>0</v>
      </c>
      <c r="M94" s="406">
        <f t="shared" si="7"/>
        <v>1335378.4800000002</v>
      </c>
      <c r="N94" s="398" t="s">
        <v>3309</v>
      </c>
      <c r="O94" s="398"/>
      <c r="P94" s="403">
        <f>SUMIF('Antelope Bailey Split BA'!$B$7:$B$29,B94,'Antelope Bailey Split BA'!$C$7:$C$29)</f>
        <v>0</v>
      </c>
      <c r="Q94" s="403" t="str">
        <f>IF(AND(P94=1,'Plant Total by Account'!$H$1=2),"EKWRA","")</f>
        <v/>
      </c>
      <c r="S94" s="403">
        <f>SUMIF('ISO w_System Splits'!$D$524:$D$615,B94,'ISO w_System Splits'!$P$524:$P$615)</f>
        <v>0</v>
      </c>
      <c r="T94" s="403" t="str">
        <f>IF(AND(S94&lt;&gt;0,'Plant Total by Account'!$H$1=2),"EKWRA TL Change","")</f>
        <v/>
      </c>
      <c r="V94" s="77">
        <v>5066</v>
      </c>
      <c r="W94" s="404">
        <f t="shared" si="9"/>
        <v>0</v>
      </c>
    </row>
    <row r="95" spans="1:23" ht="12.75" customHeight="1" x14ac:dyDescent="0.2">
      <c r="A95" s="386" t="s">
        <v>2373</v>
      </c>
      <c r="B95" s="398" t="s">
        <v>1153</v>
      </c>
      <c r="C95" s="398" t="s">
        <v>3331</v>
      </c>
      <c r="D95" s="399">
        <v>0</v>
      </c>
      <c r="E95" s="399">
        <v>111408.64000000001</v>
      </c>
      <c r="F95" s="399">
        <v>4200275.79</v>
      </c>
      <c r="G95" s="524">
        <f t="shared" si="8"/>
        <v>4311684.43</v>
      </c>
      <c r="H95" s="409"/>
      <c r="I95" s="407"/>
      <c r="J95" s="407"/>
      <c r="K95" s="406">
        <f t="shared" si="5"/>
        <v>0</v>
      </c>
      <c r="L95" s="406">
        <f t="shared" si="6"/>
        <v>111408.64000000001</v>
      </c>
      <c r="M95" s="406">
        <f t="shared" si="7"/>
        <v>4200275.79</v>
      </c>
      <c r="N95" s="398" t="s">
        <v>3309</v>
      </c>
      <c r="O95" s="398"/>
      <c r="P95" s="403">
        <f>SUMIF('Antelope Bailey Split BA'!$B$7:$B$29,B95,'Antelope Bailey Split BA'!$C$7:$C$29)</f>
        <v>0</v>
      </c>
      <c r="Q95" s="403" t="str">
        <f>IF(AND(P95=1,'Plant Total by Account'!$H$1=2),"EKWRA","")</f>
        <v/>
      </c>
      <c r="S95" s="403">
        <f>SUMIF('ISO w_System Splits'!$D$524:$D$615,B95,'ISO w_System Splits'!$P$524:$P$615)</f>
        <v>0</v>
      </c>
      <c r="T95" s="403" t="str">
        <f>IF(AND(S95&lt;&gt;0,'Plant Total by Account'!$H$1=2),"EKWRA TL Change","")</f>
        <v/>
      </c>
      <c r="V95" s="77">
        <v>5068</v>
      </c>
      <c r="W95" s="404">
        <f t="shared" si="9"/>
        <v>0</v>
      </c>
    </row>
    <row r="96" spans="1:23" ht="12.75" customHeight="1" x14ac:dyDescent="0.2">
      <c r="A96" s="386" t="s">
        <v>2376</v>
      </c>
      <c r="B96" s="398" t="s">
        <v>1155</v>
      </c>
      <c r="C96" s="398" t="s">
        <v>3331</v>
      </c>
      <c r="D96" s="399">
        <v>0</v>
      </c>
      <c r="E96" s="399">
        <v>0</v>
      </c>
      <c r="F96" s="399">
        <v>155441.9</v>
      </c>
      <c r="G96" s="524">
        <f t="shared" si="8"/>
        <v>155441.9</v>
      </c>
      <c r="H96" s="409"/>
      <c r="I96" s="407"/>
      <c r="J96" s="406"/>
      <c r="K96" s="406">
        <f t="shared" si="5"/>
        <v>0</v>
      </c>
      <c r="L96" s="406">
        <f t="shared" si="6"/>
        <v>0</v>
      </c>
      <c r="M96" s="406">
        <f t="shared" si="7"/>
        <v>155441.9</v>
      </c>
      <c r="N96" s="398" t="s">
        <v>3309</v>
      </c>
      <c r="O96" s="398"/>
      <c r="P96" s="403">
        <f>SUMIF('Antelope Bailey Split BA'!$B$7:$B$29,B96,'Antelope Bailey Split BA'!$C$7:$C$29)</f>
        <v>0</v>
      </c>
      <c r="Q96" s="403" t="str">
        <f>IF(AND(P96=1,'Plant Total by Account'!$H$1=2),"EKWRA","")</f>
        <v/>
      </c>
      <c r="S96" s="403">
        <f>SUMIF('ISO w_System Splits'!$D$524:$D$615,B96,'ISO w_System Splits'!$P$524:$P$615)</f>
        <v>0</v>
      </c>
      <c r="T96" s="403" t="str">
        <f>IF(AND(S96&lt;&gt;0,'Plant Total by Account'!$H$1=2),"EKWRA TL Change","")</f>
        <v/>
      </c>
      <c r="V96" s="77">
        <v>5072</v>
      </c>
      <c r="W96" s="404">
        <f t="shared" si="9"/>
        <v>0</v>
      </c>
    </row>
    <row r="97" spans="1:23" ht="12.75" customHeight="1" x14ac:dyDescent="0.2">
      <c r="A97" s="386" t="s">
        <v>2380</v>
      </c>
      <c r="B97" s="398" t="s">
        <v>1158</v>
      </c>
      <c r="C97" s="398" t="s">
        <v>3331</v>
      </c>
      <c r="D97" s="399">
        <v>21659.88</v>
      </c>
      <c r="E97" s="399">
        <v>24346.97</v>
      </c>
      <c r="F97" s="399">
        <v>3445043.9399999981</v>
      </c>
      <c r="G97" s="524">
        <f t="shared" si="8"/>
        <v>3491050.7899999982</v>
      </c>
      <c r="H97" s="409"/>
      <c r="I97" s="407"/>
      <c r="J97" s="407"/>
      <c r="K97" s="406">
        <f t="shared" si="5"/>
        <v>21659.88</v>
      </c>
      <c r="L97" s="406">
        <f t="shared" si="6"/>
        <v>24346.97</v>
      </c>
      <c r="M97" s="406">
        <f t="shared" si="7"/>
        <v>3445043.9399999981</v>
      </c>
      <c r="N97" s="398" t="s">
        <v>3309</v>
      </c>
      <c r="O97" s="398"/>
      <c r="P97" s="403">
        <f>SUMIF('Antelope Bailey Split BA'!$B$7:$B$29,B97,'Antelope Bailey Split BA'!$C$7:$C$29)</f>
        <v>0</v>
      </c>
      <c r="Q97" s="403" t="str">
        <f>IF(AND(P97=1,'Plant Total by Account'!$H$1=2),"EKWRA","")</f>
        <v/>
      </c>
      <c r="S97" s="403">
        <f>SUMIF('ISO w_System Splits'!$D$524:$D$615,B97,'ISO w_System Splits'!$P$524:$P$615)</f>
        <v>0</v>
      </c>
      <c r="T97" s="403" t="str">
        <f>IF(AND(S97&lt;&gt;0,'Plant Total by Account'!$H$1=2),"EKWRA TL Change","")</f>
        <v/>
      </c>
      <c r="V97" s="77">
        <v>5078</v>
      </c>
      <c r="W97" s="404">
        <f t="shared" si="9"/>
        <v>0</v>
      </c>
    </row>
    <row r="98" spans="1:23" ht="12.75" customHeight="1" x14ac:dyDescent="0.2">
      <c r="A98" s="386" t="s">
        <v>2395</v>
      </c>
      <c r="B98" s="398" t="s">
        <v>2238</v>
      </c>
      <c r="C98" s="398" t="s">
        <v>3329</v>
      </c>
      <c r="D98" s="399">
        <v>2415092.2800000003</v>
      </c>
      <c r="E98" s="399">
        <v>0</v>
      </c>
      <c r="F98" s="399">
        <v>0</v>
      </c>
      <c r="G98" s="524">
        <f t="shared" si="8"/>
        <v>2415092.2800000003</v>
      </c>
      <c r="H98" s="409"/>
      <c r="I98" s="407"/>
      <c r="J98" s="407"/>
      <c r="K98" s="406">
        <f t="shared" si="5"/>
        <v>2415092.2800000003</v>
      </c>
      <c r="L98" s="406">
        <f t="shared" si="6"/>
        <v>0</v>
      </c>
      <c r="M98" s="406">
        <f t="shared" si="7"/>
        <v>0</v>
      </c>
      <c r="N98" s="398" t="s">
        <v>3309</v>
      </c>
      <c r="O98" s="398"/>
      <c r="P98" s="403">
        <f>SUMIF('Antelope Bailey Split BA'!$B$7:$B$29,B98,'Antelope Bailey Split BA'!$C$7:$C$29)</f>
        <v>0</v>
      </c>
      <c r="Q98" s="403" t="str">
        <f>IF(AND(P98=1,'Plant Total by Account'!$H$1=2),"EKWRA","")</f>
        <v/>
      </c>
      <c r="S98" s="403">
        <f>SUMIF('ISO w_System Splits'!$D$524:$D$615,B98,'ISO w_System Splits'!$P$524:$P$615)</f>
        <v>0</v>
      </c>
      <c r="T98" s="403" t="str">
        <f>IF(AND(S98&lt;&gt;0,'Plant Total by Account'!$H$1=2),"EKWRA TL Change","")</f>
        <v/>
      </c>
      <c r="V98" s="77">
        <v>5095</v>
      </c>
      <c r="W98" s="404">
        <f t="shared" si="9"/>
        <v>0</v>
      </c>
    </row>
    <row r="99" spans="1:23" ht="12.75" customHeight="1" x14ac:dyDescent="0.2">
      <c r="A99" s="386" t="s">
        <v>2397</v>
      </c>
      <c r="B99" s="398" t="s">
        <v>179</v>
      </c>
      <c r="C99" s="398" t="s">
        <v>3334</v>
      </c>
      <c r="D99" s="399">
        <v>0</v>
      </c>
      <c r="E99" s="399">
        <v>0</v>
      </c>
      <c r="F99" s="399">
        <v>295422.68</v>
      </c>
      <c r="G99" s="524">
        <f t="shared" si="8"/>
        <v>295422.68</v>
      </c>
      <c r="H99" s="409"/>
      <c r="I99" s="407"/>
      <c r="J99" s="406"/>
      <c r="K99" s="406">
        <f t="shared" si="5"/>
        <v>0</v>
      </c>
      <c r="L99" s="406">
        <f t="shared" si="6"/>
        <v>0</v>
      </c>
      <c r="M99" s="406">
        <f t="shared" si="7"/>
        <v>295422.68</v>
      </c>
      <c r="N99" s="398" t="s">
        <v>3309</v>
      </c>
      <c r="O99" s="398"/>
      <c r="P99" s="403">
        <f>SUMIF('Antelope Bailey Split BA'!$B$7:$B$29,B99,'Antelope Bailey Split BA'!$C$7:$C$29)</f>
        <v>0</v>
      </c>
      <c r="Q99" s="403" t="str">
        <f>IF(AND(P99=1,'Plant Total by Account'!$H$1=2),"EKWRA","")</f>
        <v/>
      </c>
      <c r="S99" s="403">
        <f>SUMIF('ISO w_System Splits'!$D$524:$D$615,B99,'ISO w_System Splits'!$P$524:$P$615)</f>
        <v>0</v>
      </c>
      <c r="T99" s="403" t="str">
        <f>IF(AND(S99&lt;&gt;0,'Plant Total by Account'!$H$1=2),"EKWRA TL Change","")</f>
        <v/>
      </c>
      <c r="V99" s="77">
        <v>5101</v>
      </c>
      <c r="W99" s="404">
        <f t="shared" si="9"/>
        <v>0</v>
      </c>
    </row>
    <row r="100" spans="1:23" ht="12.75" customHeight="1" x14ac:dyDescent="0.2">
      <c r="A100" s="386" t="s">
        <v>2398</v>
      </c>
      <c r="B100" s="398" t="s">
        <v>185</v>
      </c>
      <c r="C100" s="398" t="s">
        <v>3334</v>
      </c>
      <c r="D100" s="399">
        <v>4582.54</v>
      </c>
      <c r="E100" s="399">
        <v>0</v>
      </c>
      <c r="F100" s="399">
        <v>0</v>
      </c>
      <c r="G100" s="524">
        <f t="shared" si="8"/>
        <v>4582.54</v>
      </c>
      <c r="H100" s="409"/>
      <c r="I100" s="407"/>
      <c r="J100" s="407"/>
      <c r="K100" s="406">
        <f t="shared" ref="K100:K163" si="10">D100</f>
        <v>4582.54</v>
      </c>
      <c r="L100" s="406">
        <f t="shared" ref="L100:L163" si="11">E100</f>
        <v>0</v>
      </c>
      <c r="M100" s="406">
        <f t="shared" ref="M100:M163" si="12">F100</f>
        <v>0</v>
      </c>
      <c r="N100" s="398" t="s">
        <v>3309</v>
      </c>
      <c r="O100" s="398"/>
      <c r="P100" s="403">
        <f>SUMIF('Antelope Bailey Split BA'!$B$7:$B$29,B100,'Antelope Bailey Split BA'!$C$7:$C$29)</f>
        <v>0</v>
      </c>
      <c r="Q100" s="403" t="str">
        <f>IF(AND(P100=1,'Plant Total by Account'!$H$1=2),"EKWRA","")</f>
        <v/>
      </c>
      <c r="S100" s="403">
        <f>SUMIF('ISO w_System Splits'!$D$524:$D$615,B100,'ISO w_System Splits'!$P$524:$P$615)</f>
        <v>0</v>
      </c>
      <c r="T100" s="403" t="str">
        <f>IF(AND(S100&lt;&gt;0,'Plant Total by Account'!$H$1=2),"EKWRA TL Change","")</f>
        <v/>
      </c>
      <c r="V100" s="77">
        <v>5107</v>
      </c>
      <c r="W100" s="404">
        <f t="shared" si="9"/>
        <v>0</v>
      </c>
    </row>
    <row r="101" spans="1:23" ht="12.75" customHeight="1" x14ac:dyDescent="0.2">
      <c r="A101" s="386" t="s">
        <v>2399</v>
      </c>
      <c r="B101" s="398" t="s">
        <v>187</v>
      </c>
      <c r="C101" s="398" t="s">
        <v>3333</v>
      </c>
      <c r="D101" s="399">
        <v>0</v>
      </c>
      <c r="E101" s="399">
        <v>0</v>
      </c>
      <c r="F101" s="399">
        <v>2451.4500000000003</v>
      </c>
      <c r="G101" s="524">
        <f t="shared" si="8"/>
        <v>2451.4500000000003</v>
      </c>
      <c r="H101" s="409"/>
      <c r="I101" s="407"/>
      <c r="J101" s="406"/>
      <c r="K101" s="406">
        <f t="shared" si="10"/>
        <v>0</v>
      </c>
      <c r="L101" s="406">
        <f t="shared" si="11"/>
        <v>0</v>
      </c>
      <c r="M101" s="406">
        <f t="shared" si="12"/>
        <v>2451.4500000000003</v>
      </c>
      <c r="N101" s="398" t="s">
        <v>3309</v>
      </c>
      <c r="O101" s="398"/>
      <c r="P101" s="403">
        <f>SUMIF('Antelope Bailey Split BA'!$B$7:$B$29,B101,'Antelope Bailey Split BA'!$C$7:$C$29)</f>
        <v>0</v>
      </c>
      <c r="Q101" s="403" t="str">
        <f>IF(AND(P101=1,'Plant Total by Account'!$H$1=2),"EKWRA","")</f>
        <v/>
      </c>
      <c r="S101" s="403">
        <f>SUMIF('ISO w_System Splits'!$D$524:$D$615,B101,'ISO w_System Splits'!$P$524:$P$615)</f>
        <v>0</v>
      </c>
      <c r="T101" s="403" t="str">
        <f>IF(AND(S101&lt;&gt;0,'Plant Total by Account'!$H$1=2),"EKWRA TL Change","")</f>
        <v/>
      </c>
      <c r="V101" s="77">
        <v>5109</v>
      </c>
      <c r="W101" s="404">
        <f t="shared" si="9"/>
        <v>0</v>
      </c>
    </row>
    <row r="102" spans="1:23" ht="12.75" customHeight="1" x14ac:dyDescent="0.2">
      <c r="A102" s="386" t="s">
        <v>2400</v>
      </c>
      <c r="B102" s="398" t="s">
        <v>188</v>
      </c>
      <c r="C102" s="398" t="s">
        <v>3334</v>
      </c>
      <c r="D102" s="399">
        <v>0</v>
      </c>
      <c r="E102" s="399">
        <v>6566.3</v>
      </c>
      <c r="F102" s="399">
        <v>0</v>
      </c>
      <c r="G102" s="524">
        <f t="shared" si="8"/>
        <v>6566.3</v>
      </c>
      <c r="H102" s="409"/>
      <c r="I102" s="407"/>
      <c r="J102" s="407"/>
      <c r="K102" s="406">
        <f t="shared" si="10"/>
        <v>0</v>
      </c>
      <c r="L102" s="406">
        <f t="shared" si="11"/>
        <v>6566.3</v>
      </c>
      <c r="M102" s="406">
        <f t="shared" si="12"/>
        <v>0</v>
      </c>
      <c r="N102" s="398" t="s">
        <v>3309</v>
      </c>
      <c r="O102" s="398"/>
      <c r="P102" s="403">
        <f>SUMIF('Antelope Bailey Split BA'!$B$7:$B$29,B102,'Antelope Bailey Split BA'!$C$7:$C$29)</f>
        <v>0</v>
      </c>
      <c r="Q102" s="403" t="str">
        <f>IF(AND(P102=1,'Plant Total by Account'!$H$1=2),"EKWRA","")</f>
        <v/>
      </c>
      <c r="S102" s="403">
        <f>SUMIF('ISO w_System Splits'!$D$524:$D$615,B102,'ISO w_System Splits'!$P$524:$P$615)</f>
        <v>0</v>
      </c>
      <c r="T102" s="403" t="str">
        <f>IF(AND(S102&lt;&gt;0,'Plant Total by Account'!$H$1=2),"EKWRA TL Change","")</f>
        <v/>
      </c>
      <c r="V102" s="77">
        <v>5110</v>
      </c>
      <c r="W102" s="404">
        <f t="shared" si="9"/>
        <v>0</v>
      </c>
    </row>
    <row r="103" spans="1:23" ht="12.75" customHeight="1" x14ac:dyDescent="0.2">
      <c r="A103" s="386" t="s">
        <v>2401</v>
      </c>
      <c r="B103" s="398" t="s">
        <v>192</v>
      </c>
      <c r="C103" s="398" t="s">
        <v>3334</v>
      </c>
      <c r="D103" s="399">
        <v>0</v>
      </c>
      <c r="E103" s="399">
        <v>14553.58</v>
      </c>
      <c r="F103" s="399">
        <v>0</v>
      </c>
      <c r="G103" s="524">
        <f t="shared" si="8"/>
        <v>14553.58</v>
      </c>
      <c r="H103" s="409"/>
      <c r="I103" s="407"/>
      <c r="J103" s="407"/>
      <c r="K103" s="406">
        <f t="shared" si="10"/>
        <v>0</v>
      </c>
      <c r="L103" s="406">
        <f t="shared" si="11"/>
        <v>14553.58</v>
      </c>
      <c r="M103" s="406">
        <f t="shared" si="12"/>
        <v>0</v>
      </c>
      <c r="N103" s="398" t="s">
        <v>3309</v>
      </c>
      <c r="O103" s="398"/>
      <c r="P103" s="403">
        <f>SUMIF('Antelope Bailey Split BA'!$B$7:$B$29,B103,'Antelope Bailey Split BA'!$C$7:$C$29)</f>
        <v>0</v>
      </c>
      <c r="Q103" s="403" t="str">
        <f>IF(AND(P103=1,'Plant Total by Account'!$H$1=2),"EKWRA","")</f>
        <v/>
      </c>
      <c r="S103" s="403">
        <f>SUMIF('ISO w_System Splits'!$D$524:$D$615,B103,'ISO w_System Splits'!$P$524:$P$615)</f>
        <v>0</v>
      </c>
      <c r="T103" s="403" t="str">
        <f>IF(AND(S103&lt;&gt;0,'Plant Total by Account'!$H$1=2),"EKWRA TL Change","")</f>
        <v/>
      </c>
      <c r="V103" s="77">
        <v>5115</v>
      </c>
      <c r="W103" s="404">
        <f t="shared" si="9"/>
        <v>0</v>
      </c>
    </row>
    <row r="104" spans="1:23" ht="12.75" customHeight="1" x14ac:dyDescent="0.2">
      <c r="A104" s="386" t="s">
        <v>2402</v>
      </c>
      <c r="B104" s="398" t="s">
        <v>193</v>
      </c>
      <c r="C104" s="398" t="s">
        <v>3334</v>
      </c>
      <c r="D104" s="399">
        <v>0</v>
      </c>
      <c r="E104" s="399">
        <v>0</v>
      </c>
      <c r="F104" s="399">
        <v>6164.83</v>
      </c>
      <c r="G104" s="524">
        <f t="shared" si="8"/>
        <v>6164.83</v>
      </c>
      <c r="H104" s="409"/>
      <c r="I104" s="407"/>
      <c r="J104" s="406"/>
      <c r="K104" s="406">
        <f t="shared" si="10"/>
        <v>0</v>
      </c>
      <c r="L104" s="406">
        <f t="shared" si="11"/>
        <v>0</v>
      </c>
      <c r="M104" s="406">
        <f t="shared" si="12"/>
        <v>6164.83</v>
      </c>
      <c r="N104" s="398" t="s">
        <v>3309</v>
      </c>
      <c r="O104" s="398"/>
      <c r="P104" s="403">
        <f>SUMIF('Antelope Bailey Split BA'!$B$7:$B$29,B104,'Antelope Bailey Split BA'!$C$7:$C$29)</f>
        <v>0</v>
      </c>
      <c r="Q104" s="403" t="str">
        <f>IF(AND(P104=1,'Plant Total by Account'!$H$1=2),"EKWRA","")</f>
        <v/>
      </c>
      <c r="S104" s="403">
        <f>SUMIF('ISO w_System Splits'!$D$524:$D$615,B104,'ISO w_System Splits'!$P$524:$P$615)</f>
        <v>0</v>
      </c>
      <c r="T104" s="403" t="str">
        <f>IF(AND(S104&lt;&gt;0,'Plant Total by Account'!$H$1=2),"EKWRA TL Change","")</f>
        <v/>
      </c>
      <c r="V104" s="77">
        <v>5116</v>
      </c>
      <c r="W104" s="404">
        <f t="shared" si="9"/>
        <v>0</v>
      </c>
    </row>
    <row r="105" spans="1:23" ht="12.75" customHeight="1" x14ac:dyDescent="0.2">
      <c r="A105" s="386" t="s">
        <v>2403</v>
      </c>
      <c r="B105" s="398" t="s">
        <v>207</v>
      </c>
      <c r="C105" s="398" t="s">
        <v>3333</v>
      </c>
      <c r="D105" s="399">
        <v>0</v>
      </c>
      <c r="E105" s="399">
        <v>0</v>
      </c>
      <c r="F105" s="399">
        <v>17332.170000000002</v>
      </c>
      <c r="G105" s="524">
        <f t="shared" si="8"/>
        <v>17332.170000000002</v>
      </c>
      <c r="H105" s="406"/>
      <c r="I105" s="407"/>
      <c r="J105" s="407"/>
      <c r="K105" s="406">
        <f t="shared" si="10"/>
        <v>0</v>
      </c>
      <c r="L105" s="406">
        <f t="shared" si="11"/>
        <v>0</v>
      </c>
      <c r="M105" s="406">
        <f t="shared" si="12"/>
        <v>17332.170000000002</v>
      </c>
      <c r="N105" s="398" t="s">
        <v>3309</v>
      </c>
      <c r="O105" s="398"/>
      <c r="P105" s="403">
        <f>SUMIF('Antelope Bailey Split BA'!$B$7:$B$29,B105,'Antelope Bailey Split BA'!$C$7:$C$29)</f>
        <v>0</v>
      </c>
      <c r="Q105" s="403" t="str">
        <f>IF(AND(P105=1,'Plant Total by Account'!$H$1=2),"EKWRA","")</f>
        <v/>
      </c>
      <c r="S105" s="403">
        <f>SUMIF('ISO w_System Splits'!$D$524:$D$615,B105,'ISO w_System Splits'!$P$524:$P$615)</f>
        <v>0</v>
      </c>
      <c r="T105" s="403" t="str">
        <f>IF(AND(S105&lt;&gt;0,'Plant Total by Account'!$H$1=2),"EKWRA TL Change","")</f>
        <v/>
      </c>
      <c r="V105" s="77">
        <v>5134</v>
      </c>
      <c r="W105" s="404">
        <f t="shared" si="9"/>
        <v>0</v>
      </c>
    </row>
    <row r="106" spans="1:23" ht="12.75" customHeight="1" x14ac:dyDescent="0.2">
      <c r="A106" s="386" t="s">
        <v>2404</v>
      </c>
      <c r="B106" s="398" t="s">
        <v>212</v>
      </c>
      <c r="C106" s="398" t="s">
        <v>3334</v>
      </c>
      <c r="D106" s="399">
        <v>0</v>
      </c>
      <c r="E106" s="399">
        <v>0</v>
      </c>
      <c r="F106" s="399">
        <v>22.12</v>
      </c>
      <c r="G106" s="524">
        <f t="shared" si="8"/>
        <v>22.12</v>
      </c>
      <c r="H106" s="406"/>
      <c r="I106" s="407"/>
      <c r="J106" s="407"/>
      <c r="K106" s="406">
        <f t="shared" si="10"/>
        <v>0</v>
      </c>
      <c r="L106" s="406">
        <f t="shared" si="11"/>
        <v>0</v>
      </c>
      <c r="M106" s="406">
        <f t="shared" si="12"/>
        <v>22.12</v>
      </c>
      <c r="N106" s="398" t="s">
        <v>3309</v>
      </c>
      <c r="O106" s="398"/>
      <c r="P106" s="403">
        <f>SUMIF('Antelope Bailey Split BA'!$B$7:$B$29,B106,'Antelope Bailey Split BA'!$C$7:$C$29)</f>
        <v>0</v>
      </c>
      <c r="Q106" s="403" t="str">
        <f>IF(AND(P106=1,'Plant Total by Account'!$H$1=2),"EKWRA","")</f>
        <v/>
      </c>
      <c r="S106" s="403">
        <f>SUMIF('ISO w_System Splits'!$D$524:$D$615,B106,'ISO w_System Splits'!$P$524:$P$615)</f>
        <v>0</v>
      </c>
      <c r="T106" s="403" t="str">
        <f>IF(AND(S106&lt;&gt;0,'Plant Total by Account'!$H$1=2),"EKWRA TL Change","")</f>
        <v/>
      </c>
      <c r="V106" s="77">
        <v>5141</v>
      </c>
      <c r="W106" s="404">
        <f t="shared" si="9"/>
        <v>0</v>
      </c>
    </row>
    <row r="107" spans="1:23" ht="12.75" customHeight="1" x14ac:dyDescent="0.2">
      <c r="A107" s="386" t="s">
        <v>2405</v>
      </c>
      <c r="B107" s="398" t="s">
        <v>221</v>
      </c>
      <c r="C107" s="398" t="s">
        <v>3333</v>
      </c>
      <c r="D107" s="399">
        <v>0</v>
      </c>
      <c r="E107" s="399">
        <v>0</v>
      </c>
      <c r="F107" s="399">
        <v>18514.43</v>
      </c>
      <c r="G107" s="524">
        <f t="shared" si="8"/>
        <v>18514.43</v>
      </c>
      <c r="H107" s="406"/>
      <c r="I107" s="407"/>
      <c r="J107" s="407"/>
      <c r="K107" s="406">
        <f t="shared" si="10"/>
        <v>0</v>
      </c>
      <c r="L107" s="406">
        <f t="shared" si="11"/>
        <v>0</v>
      </c>
      <c r="M107" s="406">
        <f t="shared" si="12"/>
        <v>18514.43</v>
      </c>
      <c r="N107" s="398" t="s">
        <v>3309</v>
      </c>
      <c r="O107" s="398"/>
      <c r="P107" s="403">
        <f>SUMIF('Antelope Bailey Split BA'!$B$7:$B$29,B107,'Antelope Bailey Split BA'!$C$7:$C$29)</f>
        <v>0</v>
      </c>
      <c r="Q107" s="403" t="str">
        <f>IF(AND(P107=1,'Plant Total by Account'!$H$1=2),"EKWRA","")</f>
        <v/>
      </c>
      <c r="S107" s="403">
        <f>SUMIF('ISO w_System Splits'!$D$524:$D$615,B107,'ISO w_System Splits'!$P$524:$P$615)</f>
        <v>0</v>
      </c>
      <c r="T107" s="403" t="str">
        <f>IF(AND(S107&lt;&gt;0,'Plant Total by Account'!$H$1=2),"EKWRA TL Change","")</f>
        <v/>
      </c>
      <c r="V107" s="77">
        <v>5150</v>
      </c>
      <c r="W107" s="404">
        <f t="shared" si="9"/>
        <v>0</v>
      </c>
    </row>
    <row r="108" spans="1:23" ht="12.75" customHeight="1" x14ac:dyDescent="0.2">
      <c r="A108" s="386" t="s">
        <v>2406</v>
      </c>
      <c r="B108" s="398" t="s">
        <v>227</v>
      </c>
      <c r="C108" s="398" t="s">
        <v>3334</v>
      </c>
      <c r="D108" s="399">
        <v>0</v>
      </c>
      <c r="E108" s="399">
        <v>0</v>
      </c>
      <c r="F108" s="399">
        <v>122.73</v>
      </c>
      <c r="G108" s="524">
        <f t="shared" si="8"/>
        <v>122.73</v>
      </c>
      <c r="H108" s="406"/>
      <c r="I108" s="407"/>
      <c r="J108" s="407"/>
      <c r="K108" s="406">
        <f t="shared" si="10"/>
        <v>0</v>
      </c>
      <c r="L108" s="406">
        <f t="shared" si="11"/>
        <v>0</v>
      </c>
      <c r="M108" s="406">
        <f t="shared" si="12"/>
        <v>122.73</v>
      </c>
      <c r="N108" s="398" t="s">
        <v>3309</v>
      </c>
      <c r="O108" s="398"/>
      <c r="P108" s="403">
        <f>SUMIF('Antelope Bailey Split BA'!$B$7:$B$29,B108,'Antelope Bailey Split BA'!$C$7:$C$29)</f>
        <v>0</v>
      </c>
      <c r="Q108" s="403" t="str">
        <f>IF(AND(P108=1,'Plant Total by Account'!$H$1=2),"EKWRA","")</f>
        <v/>
      </c>
      <c r="S108" s="403">
        <f>SUMIF('ISO w_System Splits'!$D$524:$D$615,B108,'ISO w_System Splits'!$P$524:$P$615)</f>
        <v>0</v>
      </c>
      <c r="T108" s="403" t="str">
        <f>IF(AND(S108&lt;&gt;0,'Plant Total by Account'!$H$1=2),"EKWRA TL Change","")</f>
        <v/>
      </c>
      <c r="V108" s="77">
        <v>5158</v>
      </c>
      <c r="W108" s="404">
        <f t="shared" si="9"/>
        <v>0</v>
      </c>
    </row>
    <row r="109" spans="1:23" ht="12.75" customHeight="1" x14ac:dyDescent="0.2">
      <c r="A109" s="386" t="s">
        <v>2407</v>
      </c>
      <c r="B109" s="398" t="s">
        <v>230</v>
      </c>
      <c r="C109" s="398" t="s">
        <v>3334</v>
      </c>
      <c r="D109" s="399">
        <v>0</v>
      </c>
      <c r="E109" s="399">
        <v>40064.76</v>
      </c>
      <c r="F109" s="399">
        <v>0</v>
      </c>
      <c r="G109" s="524">
        <f t="shared" si="8"/>
        <v>40064.76</v>
      </c>
      <c r="H109" s="406"/>
      <c r="I109" s="407"/>
      <c r="J109" s="407"/>
      <c r="K109" s="406">
        <f t="shared" si="10"/>
        <v>0</v>
      </c>
      <c r="L109" s="406">
        <f t="shared" si="11"/>
        <v>40064.76</v>
      </c>
      <c r="M109" s="406">
        <f t="shared" si="12"/>
        <v>0</v>
      </c>
      <c r="N109" s="398" t="s">
        <v>3309</v>
      </c>
      <c r="O109" s="398"/>
      <c r="P109" s="403">
        <f>SUMIF('Antelope Bailey Split BA'!$B$7:$B$29,B109,'Antelope Bailey Split BA'!$C$7:$C$29)</f>
        <v>0</v>
      </c>
      <c r="Q109" s="403" t="str">
        <f>IF(AND(P109=1,'Plant Total by Account'!$H$1=2),"EKWRA","")</f>
        <v/>
      </c>
      <c r="S109" s="403">
        <f>SUMIF('ISO w_System Splits'!$D$524:$D$615,B109,'ISO w_System Splits'!$P$524:$P$615)</f>
        <v>0</v>
      </c>
      <c r="T109" s="403" t="str">
        <f>IF(AND(S109&lt;&gt;0,'Plant Total by Account'!$H$1=2),"EKWRA TL Change","")</f>
        <v/>
      </c>
      <c r="V109" s="77">
        <v>5161</v>
      </c>
      <c r="W109" s="404">
        <f t="shared" si="9"/>
        <v>0</v>
      </c>
    </row>
    <row r="110" spans="1:23" ht="12.75" customHeight="1" x14ac:dyDescent="0.2">
      <c r="A110" s="386" t="s">
        <v>2408</v>
      </c>
      <c r="B110" s="398" t="s">
        <v>231</v>
      </c>
      <c r="C110" s="398" t="s">
        <v>3333</v>
      </c>
      <c r="D110" s="399">
        <v>0</v>
      </c>
      <c r="E110" s="399">
        <v>0</v>
      </c>
      <c r="F110" s="399">
        <v>17195.37</v>
      </c>
      <c r="G110" s="524">
        <f t="shared" si="8"/>
        <v>17195.37</v>
      </c>
      <c r="H110" s="406"/>
      <c r="I110" s="407"/>
      <c r="J110" s="407"/>
      <c r="K110" s="406">
        <f t="shared" si="10"/>
        <v>0</v>
      </c>
      <c r="L110" s="406">
        <f t="shared" si="11"/>
        <v>0</v>
      </c>
      <c r="M110" s="406">
        <f t="shared" si="12"/>
        <v>17195.37</v>
      </c>
      <c r="N110" s="398" t="s">
        <v>3309</v>
      </c>
      <c r="O110" s="398"/>
      <c r="P110" s="403">
        <f>SUMIF('Antelope Bailey Split BA'!$B$7:$B$29,B110,'Antelope Bailey Split BA'!$C$7:$C$29)</f>
        <v>0</v>
      </c>
      <c r="Q110" s="403" t="str">
        <f>IF(AND(P110=1,'Plant Total by Account'!$H$1=2),"EKWRA","")</f>
        <v/>
      </c>
      <c r="S110" s="403">
        <f>SUMIF('ISO w_System Splits'!$D$524:$D$615,B110,'ISO w_System Splits'!$P$524:$P$615)</f>
        <v>0</v>
      </c>
      <c r="T110" s="403" t="str">
        <f>IF(AND(S110&lt;&gt;0,'Plant Total by Account'!$H$1=2),"EKWRA TL Change","")</f>
        <v/>
      </c>
      <c r="V110" s="77">
        <v>5162</v>
      </c>
      <c r="W110" s="404">
        <f t="shared" si="9"/>
        <v>0</v>
      </c>
    </row>
    <row r="111" spans="1:23" ht="12.75" customHeight="1" x14ac:dyDescent="0.2">
      <c r="A111" s="386" t="s">
        <v>2409</v>
      </c>
      <c r="B111" s="398" t="s">
        <v>1171</v>
      </c>
      <c r="C111" s="398" t="s">
        <v>3334</v>
      </c>
      <c r="D111" s="399">
        <v>0</v>
      </c>
      <c r="E111" s="399">
        <v>0</v>
      </c>
      <c r="F111" s="399">
        <v>3666.38</v>
      </c>
      <c r="G111" s="524">
        <f t="shared" si="8"/>
        <v>3666.38</v>
      </c>
      <c r="H111" s="406"/>
      <c r="I111" s="407"/>
      <c r="J111" s="407"/>
      <c r="K111" s="406">
        <f t="shared" si="10"/>
        <v>0</v>
      </c>
      <c r="L111" s="406">
        <f t="shared" si="11"/>
        <v>0</v>
      </c>
      <c r="M111" s="406">
        <f t="shared" si="12"/>
        <v>3666.38</v>
      </c>
      <c r="N111" s="398" t="s">
        <v>3309</v>
      </c>
      <c r="O111" s="398"/>
      <c r="P111" s="403">
        <f>SUMIF('Antelope Bailey Split BA'!$B$7:$B$29,B111,'Antelope Bailey Split BA'!$C$7:$C$29)</f>
        <v>0</v>
      </c>
      <c r="Q111" s="403" t="str">
        <f>IF(AND(P111=1,'Plant Total by Account'!$H$1=2),"EKWRA","")</f>
        <v/>
      </c>
      <c r="S111" s="403">
        <f>SUMIF('ISO w_System Splits'!$D$524:$D$615,B111,'ISO w_System Splits'!$P$524:$P$615)</f>
        <v>0</v>
      </c>
      <c r="T111" s="403" t="str">
        <f>IF(AND(S111&lt;&gt;0,'Plant Total by Account'!$H$1=2),"EKWRA TL Change","")</f>
        <v/>
      </c>
      <c r="V111" s="77">
        <v>5165</v>
      </c>
      <c r="W111" s="404">
        <f t="shared" si="9"/>
        <v>0</v>
      </c>
    </row>
    <row r="112" spans="1:23" ht="12.75" customHeight="1" x14ac:dyDescent="0.2">
      <c r="A112" s="386" t="s">
        <v>2410</v>
      </c>
      <c r="B112" s="398" t="s">
        <v>233</v>
      </c>
      <c r="C112" s="398" t="s">
        <v>3333</v>
      </c>
      <c r="D112" s="399">
        <v>0</v>
      </c>
      <c r="E112" s="399">
        <v>0</v>
      </c>
      <c r="F112" s="399">
        <v>89412.24</v>
      </c>
      <c r="G112" s="524">
        <f t="shared" si="8"/>
        <v>89412.24</v>
      </c>
      <c r="H112" s="406"/>
      <c r="I112" s="407"/>
      <c r="J112" s="407"/>
      <c r="K112" s="406">
        <f t="shared" si="10"/>
        <v>0</v>
      </c>
      <c r="L112" s="406">
        <f t="shared" si="11"/>
        <v>0</v>
      </c>
      <c r="M112" s="406">
        <f t="shared" si="12"/>
        <v>89412.24</v>
      </c>
      <c r="N112" s="398" t="s">
        <v>3309</v>
      </c>
      <c r="O112" s="398"/>
      <c r="P112" s="403">
        <f>SUMIF('Antelope Bailey Split BA'!$B$7:$B$29,B112,'Antelope Bailey Split BA'!$C$7:$C$29)</f>
        <v>0</v>
      </c>
      <c r="Q112" s="403" t="str">
        <f>IF(AND(P112=1,'Plant Total by Account'!$H$1=2),"EKWRA","")</f>
        <v/>
      </c>
      <c r="S112" s="403">
        <f>SUMIF('ISO w_System Splits'!$D$524:$D$615,B112,'ISO w_System Splits'!$P$524:$P$615)</f>
        <v>0</v>
      </c>
      <c r="T112" s="403" t="str">
        <f>IF(AND(S112&lt;&gt;0,'Plant Total by Account'!$H$1=2),"EKWRA TL Change","")</f>
        <v/>
      </c>
      <c r="V112" s="77">
        <v>5167</v>
      </c>
      <c r="W112" s="404">
        <f t="shared" si="9"/>
        <v>0</v>
      </c>
    </row>
    <row r="113" spans="1:23" ht="12.75" customHeight="1" x14ac:dyDescent="0.2">
      <c r="A113" s="386" t="s">
        <v>2411</v>
      </c>
      <c r="B113" s="398" t="s">
        <v>236</v>
      </c>
      <c r="C113" s="398" t="s">
        <v>3333</v>
      </c>
      <c r="D113" s="399">
        <v>0</v>
      </c>
      <c r="E113" s="399">
        <v>0</v>
      </c>
      <c r="F113" s="399">
        <v>17367.39</v>
      </c>
      <c r="G113" s="524">
        <f t="shared" si="8"/>
        <v>17367.39</v>
      </c>
      <c r="H113" s="406"/>
      <c r="I113" s="407"/>
      <c r="J113" s="407"/>
      <c r="K113" s="406">
        <f t="shared" si="10"/>
        <v>0</v>
      </c>
      <c r="L113" s="406">
        <f t="shared" si="11"/>
        <v>0</v>
      </c>
      <c r="M113" s="406">
        <f t="shared" si="12"/>
        <v>17367.39</v>
      </c>
      <c r="N113" s="398" t="s">
        <v>3309</v>
      </c>
      <c r="O113" s="398"/>
      <c r="P113" s="403">
        <f>SUMIF('Antelope Bailey Split BA'!$B$7:$B$29,B113,'Antelope Bailey Split BA'!$C$7:$C$29)</f>
        <v>0</v>
      </c>
      <c r="Q113" s="403" t="str">
        <f>IF(AND(P113=1,'Plant Total by Account'!$H$1=2),"EKWRA","")</f>
        <v/>
      </c>
      <c r="S113" s="403">
        <f>SUMIF('ISO w_System Splits'!$D$524:$D$615,B113,'ISO w_System Splits'!$P$524:$P$615)</f>
        <v>0</v>
      </c>
      <c r="T113" s="403" t="str">
        <f>IF(AND(S113&lt;&gt;0,'Plant Total by Account'!$H$1=2),"EKWRA TL Change","")</f>
        <v/>
      </c>
      <c r="V113" s="77">
        <v>5170</v>
      </c>
      <c r="W113" s="404">
        <f t="shared" si="9"/>
        <v>0</v>
      </c>
    </row>
    <row r="114" spans="1:23" ht="12.75" customHeight="1" x14ac:dyDescent="0.2">
      <c r="A114" s="386" t="s">
        <v>2412</v>
      </c>
      <c r="B114" s="398" t="s">
        <v>241</v>
      </c>
      <c r="C114" s="398" t="s">
        <v>3334</v>
      </c>
      <c r="D114" s="399">
        <v>3995.44</v>
      </c>
      <c r="E114" s="399">
        <v>0</v>
      </c>
      <c r="F114" s="399">
        <v>0</v>
      </c>
      <c r="G114" s="524">
        <f t="shared" si="8"/>
        <v>3995.44</v>
      </c>
      <c r="H114" s="406"/>
      <c r="I114" s="407"/>
      <c r="J114" s="407"/>
      <c r="K114" s="406">
        <f t="shared" si="10"/>
        <v>3995.44</v>
      </c>
      <c r="L114" s="406">
        <f t="shared" si="11"/>
        <v>0</v>
      </c>
      <c r="M114" s="406">
        <f t="shared" si="12"/>
        <v>0</v>
      </c>
      <c r="N114" s="398" t="s">
        <v>3309</v>
      </c>
      <c r="O114" s="398"/>
      <c r="P114" s="403">
        <f>SUMIF('Antelope Bailey Split BA'!$B$7:$B$29,B114,'Antelope Bailey Split BA'!$C$7:$C$29)</f>
        <v>0</v>
      </c>
      <c r="Q114" s="403" t="str">
        <f>IF(AND(P114=1,'Plant Total by Account'!$H$1=2),"EKWRA","")</f>
        <v/>
      </c>
      <c r="S114" s="403">
        <f>SUMIF('ISO w_System Splits'!$D$524:$D$615,B114,'ISO w_System Splits'!$P$524:$P$615)</f>
        <v>0</v>
      </c>
      <c r="T114" s="403" t="str">
        <f>IF(AND(S114&lt;&gt;0,'Plant Total by Account'!$H$1=2),"EKWRA TL Change","")</f>
        <v/>
      </c>
      <c r="V114" s="77">
        <v>5178</v>
      </c>
      <c r="W114" s="404">
        <f t="shared" si="9"/>
        <v>0</v>
      </c>
    </row>
    <row r="115" spans="1:23" ht="12.75" customHeight="1" x14ac:dyDescent="0.2">
      <c r="A115" s="386" t="s">
        <v>2413</v>
      </c>
      <c r="B115" s="398" t="s">
        <v>247</v>
      </c>
      <c r="C115" s="398" t="s">
        <v>3334</v>
      </c>
      <c r="D115" s="399">
        <v>0</v>
      </c>
      <c r="E115" s="399">
        <v>0</v>
      </c>
      <c r="F115" s="399">
        <v>34421.870000000003</v>
      </c>
      <c r="G115" s="524">
        <f t="shared" si="8"/>
        <v>34421.870000000003</v>
      </c>
      <c r="H115" s="406"/>
      <c r="I115" s="407"/>
      <c r="J115" s="407"/>
      <c r="K115" s="406">
        <f t="shared" si="10"/>
        <v>0</v>
      </c>
      <c r="L115" s="406">
        <f t="shared" si="11"/>
        <v>0</v>
      </c>
      <c r="M115" s="406">
        <f t="shared" si="12"/>
        <v>34421.870000000003</v>
      </c>
      <c r="N115" s="398" t="s">
        <v>3309</v>
      </c>
      <c r="O115" s="398"/>
      <c r="P115" s="403">
        <f>SUMIF('Antelope Bailey Split BA'!$B$7:$B$29,B115,'Antelope Bailey Split BA'!$C$7:$C$29)</f>
        <v>0</v>
      </c>
      <c r="Q115" s="403" t="str">
        <f>IF(AND(P115=1,'Plant Total by Account'!$H$1=2),"EKWRA","")</f>
        <v/>
      </c>
      <c r="S115" s="403">
        <f>SUMIF('ISO w_System Splits'!$D$524:$D$615,B115,'ISO w_System Splits'!$P$524:$P$615)</f>
        <v>0</v>
      </c>
      <c r="T115" s="403" t="str">
        <f>IF(AND(S115&lt;&gt;0,'Plant Total by Account'!$H$1=2),"EKWRA TL Change","")</f>
        <v/>
      </c>
      <c r="V115" s="77">
        <v>5185</v>
      </c>
      <c r="W115" s="404">
        <f t="shared" si="9"/>
        <v>0</v>
      </c>
    </row>
    <row r="116" spans="1:23" ht="12.75" customHeight="1" x14ac:dyDescent="0.2">
      <c r="A116" s="386" t="s">
        <v>2414</v>
      </c>
      <c r="B116" s="398" t="s">
        <v>248</v>
      </c>
      <c r="C116" s="398" t="s">
        <v>3334</v>
      </c>
      <c r="D116" s="399">
        <v>0</v>
      </c>
      <c r="E116" s="399">
        <v>0</v>
      </c>
      <c r="F116" s="399">
        <v>31589.02</v>
      </c>
      <c r="G116" s="524">
        <f t="shared" si="8"/>
        <v>31589.02</v>
      </c>
      <c r="H116" s="406"/>
      <c r="I116" s="407"/>
      <c r="J116" s="407"/>
      <c r="K116" s="406">
        <f t="shared" si="10"/>
        <v>0</v>
      </c>
      <c r="L116" s="406">
        <f t="shared" si="11"/>
        <v>0</v>
      </c>
      <c r="M116" s="406">
        <f t="shared" si="12"/>
        <v>31589.02</v>
      </c>
      <c r="N116" s="398" t="s">
        <v>3309</v>
      </c>
      <c r="O116" s="398"/>
      <c r="P116" s="403">
        <f>SUMIF('Antelope Bailey Split BA'!$B$7:$B$29,B116,'Antelope Bailey Split BA'!$C$7:$C$29)</f>
        <v>0</v>
      </c>
      <c r="Q116" s="403" t="str">
        <f>IF(AND(P116=1,'Plant Total by Account'!$H$1=2),"EKWRA","")</f>
        <v/>
      </c>
      <c r="S116" s="403">
        <f>SUMIF('ISO w_System Splits'!$D$524:$D$615,B116,'ISO w_System Splits'!$P$524:$P$615)</f>
        <v>0</v>
      </c>
      <c r="T116" s="403" t="str">
        <f>IF(AND(S116&lt;&gt;0,'Plant Total by Account'!$H$1=2),"EKWRA TL Change","")</f>
        <v/>
      </c>
      <c r="V116" s="77">
        <v>5186</v>
      </c>
      <c r="W116" s="404">
        <f t="shared" si="9"/>
        <v>0</v>
      </c>
    </row>
    <row r="117" spans="1:23" ht="12.75" customHeight="1" x14ac:dyDescent="0.2">
      <c r="A117" s="386" t="s">
        <v>2415</v>
      </c>
      <c r="B117" s="398" t="s">
        <v>257</v>
      </c>
      <c r="C117" s="398" t="s">
        <v>3334</v>
      </c>
      <c r="D117" s="399">
        <v>0</v>
      </c>
      <c r="E117" s="399">
        <v>0</v>
      </c>
      <c r="F117" s="399">
        <v>4077.98</v>
      </c>
      <c r="G117" s="524">
        <f t="shared" si="8"/>
        <v>4077.98</v>
      </c>
      <c r="H117" s="406"/>
      <c r="I117" s="407"/>
      <c r="J117" s="407"/>
      <c r="K117" s="406">
        <f t="shared" si="10"/>
        <v>0</v>
      </c>
      <c r="L117" s="406">
        <f t="shared" si="11"/>
        <v>0</v>
      </c>
      <c r="M117" s="406">
        <f t="shared" si="12"/>
        <v>4077.98</v>
      </c>
      <c r="N117" s="398" t="s">
        <v>3309</v>
      </c>
      <c r="O117" s="398"/>
      <c r="P117" s="403">
        <f>SUMIF('Antelope Bailey Split BA'!$B$7:$B$29,B117,'Antelope Bailey Split BA'!$C$7:$C$29)</f>
        <v>0</v>
      </c>
      <c r="Q117" s="403" t="str">
        <f>IF(AND(P117=1,'Plant Total by Account'!$H$1=2),"EKWRA","")</f>
        <v/>
      </c>
      <c r="S117" s="403">
        <f>SUMIF('ISO w_System Splits'!$D$524:$D$615,B117,'ISO w_System Splits'!$P$524:$P$615)</f>
        <v>0</v>
      </c>
      <c r="T117" s="403" t="str">
        <f>IF(AND(S117&lt;&gt;0,'Plant Total by Account'!$H$1=2),"EKWRA TL Change","")</f>
        <v/>
      </c>
      <c r="V117" s="77">
        <v>5196</v>
      </c>
      <c r="W117" s="404">
        <f t="shared" si="9"/>
        <v>0</v>
      </c>
    </row>
    <row r="118" spans="1:23" ht="12.75" customHeight="1" x14ac:dyDescent="0.2">
      <c r="A118" s="386" t="s">
        <v>1966</v>
      </c>
      <c r="B118" s="398" t="s">
        <v>258</v>
      </c>
      <c r="C118" s="398" t="s">
        <v>3334</v>
      </c>
      <c r="D118" s="399">
        <v>0</v>
      </c>
      <c r="E118" s="399">
        <v>0</v>
      </c>
      <c r="F118" s="399">
        <v>2046562.45</v>
      </c>
      <c r="G118" s="524">
        <f t="shared" si="8"/>
        <v>2046562.45</v>
      </c>
      <c r="H118" s="406"/>
      <c r="I118" s="407"/>
      <c r="J118" s="407"/>
      <c r="K118" s="406">
        <f t="shared" si="10"/>
        <v>0</v>
      </c>
      <c r="L118" s="406">
        <f t="shared" si="11"/>
        <v>0</v>
      </c>
      <c r="M118" s="406">
        <f t="shared" si="12"/>
        <v>2046562.45</v>
      </c>
      <c r="N118" s="398" t="s">
        <v>3309</v>
      </c>
      <c r="O118" s="398"/>
      <c r="P118" s="403">
        <f>SUMIF('Antelope Bailey Split BA'!$B$7:$B$29,B118,'Antelope Bailey Split BA'!$C$7:$C$29)</f>
        <v>0</v>
      </c>
      <c r="Q118" s="403" t="str">
        <f>IF(AND(P118=1,'Plant Total by Account'!$H$1=2),"EKWRA","")</f>
        <v/>
      </c>
      <c r="S118" s="403">
        <f>SUMIF('ISO w_System Splits'!$D$524:$D$615,B118,'ISO w_System Splits'!$P$524:$P$615)</f>
        <v>0</v>
      </c>
      <c r="T118" s="403" t="str">
        <f>IF(AND(S118&lt;&gt;0,'Plant Total by Account'!$H$1=2),"EKWRA TL Change","")</f>
        <v/>
      </c>
      <c r="V118" s="77">
        <v>5198</v>
      </c>
      <c r="W118" s="404">
        <f t="shared" si="9"/>
        <v>0</v>
      </c>
    </row>
    <row r="119" spans="1:23" ht="12.75" customHeight="1" x14ac:dyDescent="0.2">
      <c r="A119" s="408" t="s">
        <v>2416</v>
      </c>
      <c r="B119" s="398" t="s">
        <v>270</v>
      </c>
      <c r="C119" s="398" t="s">
        <v>3334</v>
      </c>
      <c r="D119" s="399">
        <v>0</v>
      </c>
      <c r="E119" s="399">
        <v>0</v>
      </c>
      <c r="F119" s="399">
        <v>17793.77</v>
      </c>
      <c r="G119" s="524">
        <f t="shared" si="8"/>
        <v>17793.77</v>
      </c>
      <c r="H119" s="406"/>
      <c r="I119" s="407"/>
      <c r="J119" s="407"/>
      <c r="K119" s="406">
        <f t="shared" si="10"/>
        <v>0</v>
      </c>
      <c r="L119" s="406">
        <f t="shared" si="11"/>
        <v>0</v>
      </c>
      <c r="M119" s="406">
        <f t="shared" si="12"/>
        <v>17793.77</v>
      </c>
      <c r="N119" s="398" t="s">
        <v>3309</v>
      </c>
      <c r="O119" s="398"/>
      <c r="P119" s="403">
        <f>SUMIF('Antelope Bailey Split BA'!$B$7:$B$29,B119,'Antelope Bailey Split BA'!$C$7:$C$29)</f>
        <v>0</v>
      </c>
      <c r="Q119" s="403" t="str">
        <f>IF(AND(P119=1,'Plant Total by Account'!$H$1=2),"EKWRA","")</f>
        <v/>
      </c>
      <c r="S119" s="403">
        <f>SUMIF('ISO w_System Splits'!$D$524:$D$615,B119,'ISO w_System Splits'!$P$524:$P$615)</f>
        <v>0</v>
      </c>
      <c r="T119" s="403" t="str">
        <f>IF(AND(S119&lt;&gt;0,'Plant Total by Account'!$H$1=2),"EKWRA TL Change","")</f>
        <v/>
      </c>
      <c r="V119" s="77">
        <v>5213</v>
      </c>
      <c r="W119" s="404">
        <f t="shared" si="9"/>
        <v>0</v>
      </c>
    </row>
    <row r="120" spans="1:23" ht="12.75" customHeight="1" x14ac:dyDescent="0.2">
      <c r="A120" s="386" t="s">
        <v>2417</v>
      </c>
      <c r="B120" s="398" t="s">
        <v>291</v>
      </c>
      <c r="C120" s="398" t="s">
        <v>3334</v>
      </c>
      <c r="D120" s="399">
        <v>0</v>
      </c>
      <c r="E120" s="399">
        <v>0</v>
      </c>
      <c r="F120" s="399">
        <v>17508.45</v>
      </c>
      <c r="G120" s="524">
        <f t="shared" si="8"/>
        <v>17508.45</v>
      </c>
      <c r="H120" s="406"/>
      <c r="I120" s="407"/>
      <c r="J120" s="407"/>
      <c r="K120" s="406">
        <f t="shared" si="10"/>
        <v>0</v>
      </c>
      <c r="L120" s="406">
        <f t="shared" si="11"/>
        <v>0</v>
      </c>
      <c r="M120" s="406">
        <f t="shared" si="12"/>
        <v>17508.45</v>
      </c>
      <c r="N120" s="398" t="s">
        <v>3309</v>
      </c>
      <c r="O120" s="398"/>
      <c r="P120" s="403">
        <f>SUMIF('Antelope Bailey Split BA'!$B$7:$B$29,B120,'Antelope Bailey Split BA'!$C$7:$C$29)</f>
        <v>0</v>
      </c>
      <c r="Q120" s="403" t="str">
        <f>IF(AND(P120=1,'Plant Total by Account'!$H$1=2),"EKWRA","")</f>
        <v/>
      </c>
      <c r="S120" s="403">
        <f>SUMIF('ISO w_System Splits'!$D$524:$D$615,B120,'ISO w_System Splits'!$P$524:$P$615)</f>
        <v>0</v>
      </c>
      <c r="T120" s="403" t="str">
        <f>IF(AND(S120&lt;&gt;0,'Plant Total by Account'!$H$1=2),"EKWRA TL Change","")</f>
        <v/>
      </c>
      <c r="V120" s="77">
        <v>5235</v>
      </c>
      <c r="W120" s="404">
        <f t="shared" si="9"/>
        <v>0</v>
      </c>
    </row>
    <row r="121" spans="1:23" ht="12.75" customHeight="1" x14ac:dyDescent="0.2">
      <c r="A121" s="386" t="s">
        <v>2418</v>
      </c>
      <c r="B121" s="398" t="s">
        <v>296</v>
      </c>
      <c r="C121" s="398" t="s">
        <v>3334</v>
      </c>
      <c r="D121" s="399">
        <v>4415.28</v>
      </c>
      <c r="E121" s="399">
        <v>0</v>
      </c>
      <c r="F121" s="399">
        <v>0</v>
      </c>
      <c r="G121" s="524">
        <f t="shared" si="8"/>
        <v>4415.28</v>
      </c>
      <c r="H121" s="406"/>
      <c r="I121" s="407"/>
      <c r="J121" s="407"/>
      <c r="K121" s="406">
        <f t="shared" si="10"/>
        <v>4415.28</v>
      </c>
      <c r="L121" s="406">
        <f t="shared" si="11"/>
        <v>0</v>
      </c>
      <c r="M121" s="406">
        <f t="shared" si="12"/>
        <v>0</v>
      </c>
      <c r="N121" s="398" t="s">
        <v>3309</v>
      </c>
      <c r="O121" s="398"/>
      <c r="P121" s="403">
        <f>SUMIF('Antelope Bailey Split BA'!$B$7:$B$29,B121,'Antelope Bailey Split BA'!$C$7:$C$29)</f>
        <v>0</v>
      </c>
      <c r="Q121" s="403" t="str">
        <f>IF(AND(P121=1,'Plant Total by Account'!$H$1=2),"EKWRA","")</f>
        <v/>
      </c>
      <c r="S121" s="403">
        <f>SUMIF('ISO w_System Splits'!$D$524:$D$615,B121,'ISO w_System Splits'!$P$524:$P$615)</f>
        <v>0</v>
      </c>
      <c r="T121" s="403" t="str">
        <f>IF(AND(S121&lt;&gt;0,'Plant Total by Account'!$H$1=2),"EKWRA TL Change","")</f>
        <v/>
      </c>
      <c r="V121" s="77">
        <v>5241</v>
      </c>
      <c r="W121" s="404">
        <f t="shared" si="9"/>
        <v>0</v>
      </c>
    </row>
    <row r="122" spans="1:23" ht="12.75" customHeight="1" x14ac:dyDescent="0.2">
      <c r="A122" s="386" t="s">
        <v>2419</v>
      </c>
      <c r="B122" s="398" t="s">
        <v>374</v>
      </c>
      <c r="C122" s="398" t="s">
        <v>3334</v>
      </c>
      <c r="D122" s="399">
        <v>0</v>
      </c>
      <c r="E122" s="399">
        <v>0</v>
      </c>
      <c r="F122" s="399">
        <v>8744.34</v>
      </c>
      <c r="G122" s="524">
        <f t="shared" si="8"/>
        <v>8744.34</v>
      </c>
      <c r="H122" s="406"/>
      <c r="I122" s="407"/>
      <c r="J122" s="407"/>
      <c r="K122" s="406">
        <f t="shared" si="10"/>
        <v>0</v>
      </c>
      <c r="L122" s="406">
        <f t="shared" si="11"/>
        <v>0</v>
      </c>
      <c r="M122" s="406">
        <f t="shared" si="12"/>
        <v>8744.34</v>
      </c>
      <c r="N122" s="398" t="s">
        <v>3309</v>
      </c>
      <c r="O122" s="398"/>
      <c r="P122" s="403">
        <f>SUMIF('Antelope Bailey Split BA'!$B$7:$B$29,B122,'Antelope Bailey Split BA'!$C$7:$C$29)</f>
        <v>0</v>
      </c>
      <c r="Q122" s="403" t="str">
        <f>IF(AND(P122=1,'Plant Total by Account'!$H$1=2),"EKWRA","")</f>
        <v/>
      </c>
      <c r="S122" s="403">
        <f>SUMIF('ISO w_System Splits'!$D$524:$D$615,B122,'ISO w_System Splits'!$P$524:$P$615)</f>
        <v>0</v>
      </c>
      <c r="T122" s="403" t="str">
        <f>IF(AND(S122&lt;&gt;0,'Plant Total by Account'!$H$1=2),"EKWRA TL Change","")</f>
        <v/>
      </c>
      <c r="V122" s="77">
        <v>5325</v>
      </c>
      <c r="W122" s="404">
        <f t="shared" si="9"/>
        <v>0</v>
      </c>
    </row>
    <row r="123" spans="1:23" ht="12.75" customHeight="1" x14ac:dyDescent="0.2">
      <c r="A123" s="386" t="s">
        <v>2420</v>
      </c>
      <c r="B123" s="398" t="s">
        <v>380</v>
      </c>
      <c r="C123" s="398" t="s">
        <v>3334</v>
      </c>
      <c r="D123" s="399">
        <v>0</v>
      </c>
      <c r="E123" s="399">
        <v>0</v>
      </c>
      <c r="F123" s="399">
        <v>6446.32</v>
      </c>
      <c r="G123" s="524">
        <f t="shared" si="8"/>
        <v>6446.32</v>
      </c>
      <c r="H123" s="406"/>
      <c r="I123" s="407"/>
      <c r="J123" s="407"/>
      <c r="K123" s="406">
        <f t="shared" si="10"/>
        <v>0</v>
      </c>
      <c r="L123" s="406">
        <f t="shared" si="11"/>
        <v>0</v>
      </c>
      <c r="M123" s="406">
        <f t="shared" si="12"/>
        <v>6446.32</v>
      </c>
      <c r="N123" s="398" t="s">
        <v>3309</v>
      </c>
      <c r="O123" s="398"/>
      <c r="P123" s="403">
        <f>SUMIF('Antelope Bailey Split BA'!$B$7:$B$29,B123,'Antelope Bailey Split BA'!$C$7:$C$29)</f>
        <v>0</v>
      </c>
      <c r="Q123" s="403" t="str">
        <f>IF(AND(P123=1,'Plant Total by Account'!$H$1=2),"EKWRA","")</f>
        <v/>
      </c>
      <c r="S123" s="403">
        <f>SUMIF('ISO w_System Splits'!$D$524:$D$615,B123,'ISO w_System Splits'!$P$524:$P$615)</f>
        <v>0</v>
      </c>
      <c r="T123" s="403" t="str">
        <f>IF(AND(S123&lt;&gt;0,'Plant Total by Account'!$H$1=2),"EKWRA TL Change","")</f>
        <v/>
      </c>
      <c r="V123" s="77">
        <v>5331</v>
      </c>
      <c r="W123" s="404">
        <f t="shared" si="9"/>
        <v>0</v>
      </c>
    </row>
    <row r="124" spans="1:23" ht="12.75" customHeight="1" x14ac:dyDescent="0.2">
      <c r="A124" s="386" t="s">
        <v>2421</v>
      </c>
      <c r="B124" s="398" t="s">
        <v>399</v>
      </c>
      <c r="C124" s="398" t="s">
        <v>3333</v>
      </c>
      <c r="D124" s="399">
        <v>0</v>
      </c>
      <c r="E124" s="399">
        <v>0</v>
      </c>
      <c r="F124" s="399">
        <v>9626.8000000000011</v>
      </c>
      <c r="G124" s="524">
        <f t="shared" si="8"/>
        <v>9626.8000000000011</v>
      </c>
      <c r="H124" s="406"/>
      <c r="I124" s="407"/>
      <c r="J124" s="407"/>
      <c r="K124" s="406">
        <f t="shared" si="10"/>
        <v>0</v>
      </c>
      <c r="L124" s="406">
        <f t="shared" si="11"/>
        <v>0</v>
      </c>
      <c r="M124" s="406">
        <f t="shared" si="12"/>
        <v>9626.8000000000011</v>
      </c>
      <c r="N124" s="398" t="s">
        <v>3309</v>
      </c>
      <c r="O124" s="398"/>
      <c r="P124" s="403">
        <f>SUMIF('Antelope Bailey Split BA'!$B$7:$B$29,B124,'Antelope Bailey Split BA'!$C$7:$C$29)</f>
        <v>0</v>
      </c>
      <c r="Q124" s="403" t="str">
        <f>IF(AND(P124=1,'Plant Total by Account'!$H$1=2),"EKWRA","")</f>
        <v/>
      </c>
      <c r="S124" s="403">
        <f>SUMIF('ISO w_System Splits'!$D$524:$D$615,B124,'ISO w_System Splits'!$P$524:$P$615)</f>
        <v>0</v>
      </c>
      <c r="T124" s="403" t="str">
        <f>IF(AND(S124&lt;&gt;0,'Plant Total by Account'!$H$1=2),"EKWRA TL Change","")</f>
        <v/>
      </c>
      <c r="V124" s="77">
        <v>5352</v>
      </c>
      <c r="W124" s="404">
        <f t="shared" si="9"/>
        <v>0</v>
      </c>
    </row>
    <row r="125" spans="1:23" ht="12.75" customHeight="1" x14ac:dyDescent="0.2">
      <c r="A125" s="386" t="s">
        <v>2425</v>
      </c>
      <c r="B125" s="398" t="s">
        <v>1172</v>
      </c>
      <c r="C125" s="398" t="s">
        <v>3334</v>
      </c>
      <c r="D125" s="399">
        <v>801825.46</v>
      </c>
      <c r="E125" s="399">
        <v>0</v>
      </c>
      <c r="F125" s="399">
        <v>0</v>
      </c>
      <c r="G125" s="524">
        <f t="shared" si="8"/>
        <v>801825.46</v>
      </c>
      <c r="H125" s="406"/>
      <c r="I125" s="406"/>
      <c r="J125" s="407"/>
      <c r="K125" s="406">
        <f t="shared" si="10"/>
        <v>801825.46</v>
      </c>
      <c r="L125" s="406">
        <f t="shared" si="11"/>
        <v>0</v>
      </c>
      <c r="M125" s="406">
        <f t="shared" si="12"/>
        <v>0</v>
      </c>
      <c r="N125" s="398" t="s">
        <v>3309</v>
      </c>
      <c r="O125" s="398"/>
      <c r="P125" s="403">
        <f>SUMIF('Antelope Bailey Split BA'!$B$7:$B$29,B125,'Antelope Bailey Split BA'!$C$7:$C$29)</f>
        <v>0</v>
      </c>
      <c r="Q125" s="403" t="str">
        <f>IF(AND(P125=1,'Plant Total by Account'!$H$1=2),"EKWRA","")</f>
        <v/>
      </c>
      <c r="S125" s="403">
        <f>SUMIF('ISO w_System Splits'!$D$524:$D$615,B125,'ISO w_System Splits'!$P$524:$P$615)</f>
        <v>0</v>
      </c>
      <c r="T125" s="403" t="str">
        <f>IF(AND(S125&lt;&gt;0,'Plant Total by Account'!$H$1=2),"EKWRA TL Change","")</f>
        <v/>
      </c>
      <c r="V125" s="77">
        <v>5374</v>
      </c>
      <c r="W125" s="404">
        <f t="shared" si="9"/>
        <v>0</v>
      </c>
    </row>
    <row r="126" spans="1:23" ht="12.75" customHeight="1" x14ac:dyDescent="0.2">
      <c r="A126" s="386" t="s">
        <v>2427</v>
      </c>
      <c r="B126" s="398" t="s">
        <v>444</v>
      </c>
      <c r="C126" s="398" t="s">
        <v>3334</v>
      </c>
      <c r="D126" s="399">
        <v>0</v>
      </c>
      <c r="E126" s="399">
        <v>5565.7</v>
      </c>
      <c r="F126" s="399">
        <v>0</v>
      </c>
      <c r="G126" s="524">
        <f t="shared" si="8"/>
        <v>5565.7</v>
      </c>
      <c r="H126" s="406"/>
      <c r="I126" s="406"/>
      <c r="J126" s="407"/>
      <c r="K126" s="406">
        <f t="shared" si="10"/>
        <v>0</v>
      </c>
      <c r="L126" s="406">
        <f t="shared" si="11"/>
        <v>5565.7</v>
      </c>
      <c r="M126" s="406">
        <f t="shared" si="12"/>
        <v>0</v>
      </c>
      <c r="N126" s="398" t="s">
        <v>3309</v>
      </c>
      <c r="O126" s="398"/>
      <c r="P126" s="403">
        <f>SUMIF('Antelope Bailey Split BA'!$B$7:$B$29,B126,'Antelope Bailey Split BA'!$C$7:$C$29)</f>
        <v>0</v>
      </c>
      <c r="Q126" s="403" t="str">
        <f>IF(AND(P126=1,'Plant Total by Account'!$H$1=2),"EKWRA","")</f>
        <v/>
      </c>
      <c r="S126" s="403">
        <f>SUMIF('ISO w_System Splits'!$D$524:$D$615,B126,'ISO w_System Splits'!$P$524:$P$615)</f>
        <v>0</v>
      </c>
      <c r="T126" s="403" t="str">
        <f>IF(AND(S126&lt;&gt;0,'Plant Total by Account'!$H$1=2),"EKWRA TL Change","")</f>
        <v/>
      </c>
      <c r="V126" s="77">
        <v>5510</v>
      </c>
      <c r="W126" s="404">
        <f t="shared" si="9"/>
        <v>0</v>
      </c>
    </row>
    <row r="127" spans="1:23" ht="12.75" customHeight="1" x14ac:dyDescent="0.2">
      <c r="A127" s="386" t="s">
        <v>2435</v>
      </c>
      <c r="B127" s="398" t="s">
        <v>482</v>
      </c>
      <c r="C127" s="398" t="s">
        <v>3334</v>
      </c>
      <c r="D127" s="399">
        <v>0</v>
      </c>
      <c r="E127" s="399">
        <v>0</v>
      </c>
      <c r="F127" s="399">
        <v>3071.64</v>
      </c>
      <c r="G127" s="524">
        <f t="shared" si="8"/>
        <v>3071.64</v>
      </c>
      <c r="H127" s="406"/>
      <c r="I127" s="406"/>
      <c r="J127" s="407"/>
      <c r="K127" s="406">
        <f t="shared" si="10"/>
        <v>0</v>
      </c>
      <c r="L127" s="406">
        <f t="shared" si="11"/>
        <v>0</v>
      </c>
      <c r="M127" s="406">
        <f t="shared" si="12"/>
        <v>3071.64</v>
      </c>
      <c r="N127" s="398" t="s">
        <v>3309</v>
      </c>
      <c r="O127" s="398"/>
      <c r="P127" s="403">
        <f>SUMIF('Antelope Bailey Split BA'!$B$7:$B$29,B127,'Antelope Bailey Split BA'!$C$7:$C$29)</f>
        <v>0</v>
      </c>
      <c r="Q127" s="403" t="str">
        <f>IF(AND(P127=1,'Plant Total by Account'!$H$1=2),"EKWRA","")</f>
        <v/>
      </c>
      <c r="S127" s="403">
        <f>SUMIF('ISO w_System Splits'!$D$524:$D$615,B127,'ISO w_System Splits'!$P$524:$P$615)</f>
        <v>0</v>
      </c>
      <c r="T127" s="403" t="str">
        <f>IF(AND(S127&lt;&gt;0,'Plant Total by Account'!$H$1=2),"EKWRA TL Change","")</f>
        <v/>
      </c>
      <c r="V127" s="77">
        <v>5546</v>
      </c>
      <c r="W127" s="404">
        <f t="shared" si="9"/>
        <v>0</v>
      </c>
    </row>
    <row r="128" spans="1:23" ht="12.75" customHeight="1" x14ac:dyDescent="0.2">
      <c r="A128" s="386" t="s">
        <v>2439</v>
      </c>
      <c r="B128" s="398" t="s">
        <v>493</v>
      </c>
      <c r="C128" s="398" t="s">
        <v>3334</v>
      </c>
      <c r="D128" s="399">
        <v>0</v>
      </c>
      <c r="E128" s="399">
        <v>0</v>
      </c>
      <c r="F128" s="399">
        <v>682054.57000000007</v>
      </c>
      <c r="G128" s="524">
        <f t="shared" si="8"/>
        <v>682054.57000000007</v>
      </c>
      <c r="H128" s="406"/>
      <c r="I128" s="406"/>
      <c r="J128" s="407"/>
      <c r="K128" s="406">
        <f t="shared" si="10"/>
        <v>0</v>
      </c>
      <c r="L128" s="406">
        <f t="shared" si="11"/>
        <v>0</v>
      </c>
      <c r="M128" s="406">
        <f t="shared" si="12"/>
        <v>682054.57000000007</v>
      </c>
      <c r="N128" s="398" t="s">
        <v>3309</v>
      </c>
      <c r="O128" s="398"/>
      <c r="P128" s="403">
        <f>SUMIF('Antelope Bailey Split BA'!$B$7:$B$29,B128,'Antelope Bailey Split BA'!$C$7:$C$29)</f>
        <v>0</v>
      </c>
      <c r="Q128" s="403" t="str">
        <f>IF(AND(P128=1,'Plant Total by Account'!$H$1=2),"EKWRA","")</f>
        <v/>
      </c>
      <c r="S128" s="403">
        <f>SUMIF('ISO w_System Splits'!$D$524:$D$615,B128,'ISO w_System Splits'!$P$524:$P$615)</f>
        <v>0</v>
      </c>
      <c r="T128" s="403" t="str">
        <f>IF(AND(S128&lt;&gt;0,'Plant Total by Account'!$H$1=2),"EKWRA TL Change","")</f>
        <v/>
      </c>
      <c r="V128" s="77">
        <v>5557</v>
      </c>
      <c r="W128" s="404">
        <f t="shared" si="9"/>
        <v>0</v>
      </c>
    </row>
    <row r="129" spans="1:23" ht="12.75" customHeight="1" x14ac:dyDescent="0.2">
      <c r="A129" s="386" t="s">
        <v>2443</v>
      </c>
      <c r="B129" s="398" t="s">
        <v>547</v>
      </c>
      <c r="C129" s="398" t="s">
        <v>3334</v>
      </c>
      <c r="D129" s="399">
        <v>0</v>
      </c>
      <c r="E129" s="399">
        <v>0</v>
      </c>
      <c r="F129" s="399">
        <v>13566.25</v>
      </c>
      <c r="G129" s="524">
        <f t="shared" si="8"/>
        <v>13566.25</v>
      </c>
      <c r="H129" s="406"/>
      <c r="I129" s="407"/>
      <c r="J129" s="407"/>
      <c r="K129" s="406">
        <f t="shared" si="10"/>
        <v>0</v>
      </c>
      <c r="L129" s="406">
        <f t="shared" si="11"/>
        <v>0</v>
      </c>
      <c r="M129" s="406">
        <f t="shared" si="12"/>
        <v>13566.25</v>
      </c>
      <c r="N129" s="398" t="s">
        <v>3309</v>
      </c>
      <c r="O129" s="398"/>
      <c r="P129" s="403">
        <f>SUMIF('Antelope Bailey Split BA'!$B$7:$B$29,B129,'Antelope Bailey Split BA'!$C$7:$C$29)</f>
        <v>0</v>
      </c>
      <c r="Q129" s="403" t="str">
        <f>IF(AND(P129=1,'Plant Total by Account'!$H$1=2),"EKWRA","")</f>
        <v/>
      </c>
      <c r="S129" s="403">
        <f>SUMIF('ISO w_System Splits'!$D$524:$D$615,B129,'ISO w_System Splits'!$P$524:$P$615)</f>
        <v>0</v>
      </c>
      <c r="T129" s="403" t="str">
        <f>IF(AND(S129&lt;&gt;0,'Plant Total by Account'!$H$1=2),"EKWRA TL Change","")</f>
        <v/>
      </c>
      <c r="V129" s="77">
        <v>5601</v>
      </c>
      <c r="W129" s="404">
        <f t="shared" si="9"/>
        <v>0</v>
      </c>
    </row>
    <row r="130" spans="1:23" ht="12.75" customHeight="1" x14ac:dyDescent="0.2">
      <c r="A130" s="386" t="s">
        <v>2444</v>
      </c>
      <c r="B130" s="398" t="s">
        <v>552</v>
      </c>
      <c r="C130" s="398" t="s">
        <v>3334</v>
      </c>
      <c r="D130" s="399">
        <v>0</v>
      </c>
      <c r="E130" s="399">
        <v>13595.77</v>
      </c>
      <c r="F130" s="399">
        <v>0</v>
      </c>
      <c r="G130" s="524">
        <f t="shared" si="8"/>
        <v>13595.77</v>
      </c>
      <c r="H130" s="406"/>
      <c r="I130" s="407"/>
      <c r="J130" s="407"/>
      <c r="K130" s="406">
        <f t="shared" si="10"/>
        <v>0</v>
      </c>
      <c r="L130" s="406">
        <f t="shared" si="11"/>
        <v>13595.77</v>
      </c>
      <c r="M130" s="406">
        <f t="shared" si="12"/>
        <v>0</v>
      </c>
      <c r="N130" s="398" t="s">
        <v>3309</v>
      </c>
      <c r="O130" s="398"/>
      <c r="P130" s="403">
        <f>SUMIF('Antelope Bailey Split BA'!$B$7:$B$29,B130,'Antelope Bailey Split BA'!$C$7:$C$29)</f>
        <v>0</v>
      </c>
      <c r="Q130" s="403" t="str">
        <f>IF(AND(P130=1,'Plant Total by Account'!$H$1=2),"EKWRA","")</f>
        <v/>
      </c>
      <c r="S130" s="403">
        <f>SUMIF('ISO w_System Splits'!$D$524:$D$615,B130,'ISO w_System Splits'!$P$524:$P$615)</f>
        <v>0</v>
      </c>
      <c r="T130" s="403" t="str">
        <f>IF(AND(S130&lt;&gt;0,'Plant Total by Account'!$H$1=2),"EKWRA TL Change","")</f>
        <v/>
      </c>
      <c r="V130" s="77">
        <v>5606</v>
      </c>
      <c r="W130" s="404">
        <f t="shared" si="9"/>
        <v>0</v>
      </c>
    </row>
    <row r="131" spans="1:23" ht="12.75" customHeight="1" x14ac:dyDescent="0.2">
      <c r="A131" s="386" t="s">
        <v>2445</v>
      </c>
      <c r="B131" s="398" t="s">
        <v>558</v>
      </c>
      <c r="C131" s="398" t="s">
        <v>3334</v>
      </c>
      <c r="D131" s="399">
        <v>0</v>
      </c>
      <c r="E131" s="399">
        <v>17061.689999999999</v>
      </c>
      <c r="F131" s="399">
        <v>0</v>
      </c>
      <c r="G131" s="524">
        <f t="shared" si="8"/>
        <v>17061.689999999999</v>
      </c>
      <c r="H131" s="406"/>
      <c r="I131" s="407"/>
      <c r="J131" s="407"/>
      <c r="K131" s="406">
        <f t="shared" si="10"/>
        <v>0</v>
      </c>
      <c r="L131" s="406">
        <f t="shared" si="11"/>
        <v>17061.689999999999</v>
      </c>
      <c r="M131" s="406">
        <f t="shared" si="12"/>
        <v>0</v>
      </c>
      <c r="N131" s="398" t="s">
        <v>3309</v>
      </c>
      <c r="O131" s="398"/>
      <c r="P131" s="403">
        <f>SUMIF('Antelope Bailey Split BA'!$B$7:$B$29,B131,'Antelope Bailey Split BA'!$C$7:$C$29)</f>
        <v>0</v>
      </c>
      <c r="Q131" s="403" t="str">
        <f>IF(AND(P131=1,'Plant Total by Account'!$H$1=2),"EKWRA","")</f>
        <v/>
      </c>
      <c r="S131" s="403">
        <f>SUMIF('ISO w_System Splits'!$D$524:$D$615,B131,'ISO w_System Splits'!$P$524:$P$615)</f>
        <v>0</v>
      </c>
      <c r="T131" s="403" t="str">
        <f>IF(AND(S131&lt;&gt;0,'Plant Total by Account'!$H$1=2),"EKWRA TL Change","")</f>
        <v/>
      </c>
      <c r="V131" s="77">
        <v>5612</v>
      </c>
      <c r="W131" s="404">
        <f t="shared" si="9"/>
        <v>0</v>
      </c>
    </row>
    <row r="132" spans="1:23" ht="12.75" customHeight="1" x14ac:dyDescent="0.2">
      <c r="A132" s="386" t="s">
        <v>2446</v>
      </c>
      <c r="B132" s="398" t="s">
        <v>562</v>
      </c>
      <c r="C132" s="398" t="s">
        <v>3334</v>
      </c>
      <c r="D132" s="399">
        <v>0</v>
      </c>
      <c r="E132" s="399">
        <v>0</v>
      </c>
      <c r="F132" s="399">
        <v>60710.79</v>
      </c>
      <c r="G132" s="524">
        <f t="shared" si="8"/>
        <v>60710.79</v>
      </c>
      <c r="H132" s="406"/>
      <c r="I132" s="407"/>
      <c r="J132" s="407"/>
      <c r="K132" s="406">
        <f t="shared" si="10"/>
        <v>0</v>
      </c>
      <c r="L132" s="406">
        <f t="shared" si="11"/>
        <v>0</v>
      </c>
      <c r="M132" s="406">
        <f t="shared" si="12"/>
        <v>60710.79</v>
      </c>
      <c r="N132" s="398" t="s">
        <v>3309</v>
      </c>
      <c r="O132" s="398"/>
      <c r="P132" s="403">
        <f>SUMIF('Antelope Bailey Split BA'!$B$7:$B$29,B132,'Antelope Bailey Split BA'!$C$7:$C$29)</f>
        <v>0</v>
      </c>
      <c r="Q132" s="403" t="str">
        <f>IF(AND(P132=1,'Plant Total by Account'!$H$1=2),"EKWRA","")</f>
        <v/>
      </c>
      <c r="S132" s="403">
        <f>SUMIF('ISO w_System Splits'!$D$524:$D$615,B132,'ISO w_System Splits'!$P$524:$P$615)</f>
        <v>0</v>
      </c>
      <c r="T132" s="403" t="str">
        <f>IF(AND(S132&lt;&gt;0,'Plant Total by Account'!$H$1=2),"EKWRA TL Change","")</f>
        <v/>
      </c>
      <c r="V132" s="77">
        <v>5617</v>
      </c>
      <c r="W132" s="404">
        <f t="shared" si="9"/>
        <v>0</v>
      </c>
    </row>
    <row r="133" spans="1:23" ht="12.75" customHeight="1" x14ac:dyDescent="0.2">
      <c r="A133" s="386" t="s">
        <v>2447</v>
      </c>
      <c r="B133" s="398" t="s">
        <v>139</v>
      </c>
      <c r="C133" s="398" t="s">
        <v>3334</v>
      </c>
      <c r="D133" s="399">
        <v>0</v>
      </c>
      <c r="E133" s="399">
        <v>0</v>
      </c>
      <c r="F133" s="399">
        <v>7605.55</v>
      </c>
      <c r="G133" s="524">
        <f t="shared" si="8"/>
        <v>7605.55</v>
      </c>
      <c r="H133" s="406"/>
      <c r="I133" s="407"/>
      <c r="J133" s="407"/>
      <c r="K133" s="406">
        <f t="shared" si="10"/>
        <v>0</v>
      </c>
      <c r="L133" s="406">
        <f t="shared" si="11"/>
        <v>0</v>
      </c>
      <c r="M133" s="406">
        <f t="shared" si="12"/>
        <v>7605.55</v>
      </c>
      <c r="N133" s="398" t="s">
        <v>3309</v>
      </c>
      <c r="O133" s="398"/>
      <c r="P133" s="403">
        <f>SUMIF('Antelope Bailey Split BA'!$B$7:$B$29,B133,'Antelope Bailey Split BA'!$C$7:$C$29)</f>
        <v>0</v>
      </c>
      <c r="Q133" s="403" t="str">
        <f>IF(AND(P133=1,'Plant Total by Account'!$H$1=2),"EKWRA","")</f>
        <v/>
      </c>
      <c r="S133" s="403">
        <f>SUMIF('ISO w_System Splits'!$D$524:$D$615,B133,'ISO w_System Splits'!$P$524:$P$615)</f>
        <v>0</v>
      </c>
      <c r="T133" s="403" t="str">
        <f>IF(AND(S133&lt;&gt;0,'Plant Total by Account'!$H$1=2),"EKWRA TL Change","")</f>
        <v/>
      </c>
      <c r="V133" s="77">
        <v>5631</v>
      </c>
      <c r="W133" s="404">
        <f t="shared" si="9"/>
        <v>0</v>
      </c>
    </row>
    <row r="134" spans="1:23" ht="12.75" customHeight="1" x14ac:dyDescent="0.2">
      <c r="A134" s="386" t="s">
        <v>2448</v>
      </c>
      <c r="B134" s="398" t="s">
        <v>580</v>
      </c>
      <c r="C134" s="398" t="s">
        <v>3333</v>
      </c>
      <c r="D134" s="399">
        <v>0</v>
      </c>
      <c r="E134" s="399">
        <v>14764.800000000001</v>
      </c>
      <c r="F134" s="399">
        <v>0</v>
      </c>
      <c r="G134" s="524">
        <f t="shared" si="8"/>
        <v>14764.800000000001</v>
      </c>
      <c r="H134" s="406"/>
      <c r="I134" s="407"/>
      <c r="J134" s="407"/>
      <c r="K134" s="406">
        <f t="shared" si="10"/>
        <v>0</v>
      </c>
      <c r="L134" s="406">
        <f t="shared" si="11"/>
        <v>14764.800000000001</v>
      </c>
      <c r="M134" s="406">
        <f t="shared" si="12"/>
        <v>0</v>
      </c>
      <c r="N134" s="398" t="s">
        <v>3309</v>
      </c>
      <c r="O134" s="398"/>
      <c r="P134" s="403">
        <f>SUMIF('Antelope Bailey Split BA'!$B$7:$B$29,B134,'Antelope Bailey Split BA'!$C$7:$C$29)</f>
        <v>0</v>
      </c>
      <c r="Q134" s="403" t="str">
        <f>IF(AND(P134=1,'Plant Total by Account'!$H$1=2),"EKWRA","")</f>
        <v/>
      </c>
      <c r="S134" s="403">
        <f>SUMIF('ISO w_System Splits'!$D$524:$D$615,B134,'ISO w_System Splits'!$P$524:$P$615)</f>
        <v>0</v>
      </c>
      <c r="T134" s="403" t="str">
        <f>IF(AND(S134&lt;&gt;0,'Plant Total by Account'!$H$1=2),"EKWRA TL Change","")</f>
        <v/>
      </c>
      <c r="V134" s="77">
        <v>5637</v>
      </c>
      <c r="W134" s="404">
        <f t="shared" si="9"/>
        <v>0</v>
      </c>
    </row>
    <row r="135" spans="1:23" ht="12.75" customHeight="1" x14ac:dyDescent="0.2">
      <c r="A135" s="386" t="s">
        <v>2449</v>
      </c>
      <c r="B135" s="398" t="s">
        <v>587</v>
      </c>
      <c r="C135" s="398" t="s">
        <v>3334</v>
      </c>
      <c r="D135" s="399">
        <v>0</v>
      </c>
      <c r="E135" s="399">
        <v>19747.47</v>
      </c>
      <c r="F135" s="399">
        <v>0</v>
      </c>
      <c r="G135" s="524">
        <f t="shared" si="8"/>
        <v>19747.47</v>
      </c>
      <c r="H135" s="406"/>
      <c r="I135" s="407"/>
      <c r="J135" s="407"/>
      <c r="K135" s="406">
        <f t="shared" si="10"/>
        <v>0</v>
      </c>
      <c r="L135" s="406">
        <f t="shared" si="11"/>
        <v>19747.47</v>
      </c>
      <c r="M135" s="406">
        <f t="shared" si="12"/>
        <v>0</v>
      </c>
      <c r="N135" s="398" t="s">
        <v>3309</v>
      </c>
      <c r="O135" s="398"/>
      <c r="P135" s="403">
        <f>SUMIF('Antelope Bailey Split BA'!$B$7:$B$29,B135,'Antelope Bailey Split BA'!$C$7:$C$29)</f>
        <v>0</v>
      </c>
      <c r="Q135" s="403" t="str">
        <f>IF(AND(P135=1,'Plant Total by Account'!$H$1=2),"EKWRA","")</f>
        <v/>
      </c>
      <c r="S135" s="403">
        <f>SUMIF('ISO w_System Splits'!$D$524:$D$615,B135,'ISO w_System Splits'!$P$524:$P$615)</f>
        <v>0</v>
      </c>
      <c r="T135" s="403" t="str">
        <f>IF(AND(S135&lt;&gt;0,'Plant Total by Account'!$H$1=2),"EKWRA TL Change","")</f>
        <v/>
      </c>
      <c r="V135" s="77">
        <v>5646</v>
      </c>
      <c r="W135" s="404">
        <f t="shared" si="9"/>
        <v>0</v>
      </c>
    </row>
    <row r="136" spans="1:23" ht="12.75" customHeight="1" x14ac:dyDescent="0.2">
      <c r="A136" s="386" t="s">
        <v>2450</v>
      </c>
      <c r="B136" s="398" t="s">
        <v>591</v>
      </c>
      <c r="C136" s="398" t="s">
        <v>3334</v>
      </c>
      <c r="D136" s="399">
        <v>0</v>
      </c>
      <c r="E136" s="399">
        <v>0</v>
      </c>
      <c r="F136" s="399">
        <v>22268.73</v>
      </c>
      <c r="G136" s="524">
        <f t="shared" si="8"/>
        <v>22268.73</v>
      </c>
      <c r="H136" s="406"/>
      <c r="I136" s="407"/>
      <c r="J136" s="407"/>
      <c r="K136" s="406">
        <f t="shared" si="10"/>
        <v>0</v>
      </c>
      <c r="L136" s="406">
        <f t="shared" si="11"/>
        <v>0</v>
      </c>
      <c r="M136" s="406">
        <f t="shared" si="12"/>
        <v>22268.73</v>
      </c>
      <c r="N136" s="398" t="s">
        <v>3309</v>
      </c>
      <c r="O136" s="398"/>
      <c r="P136" s="403">
        <f>SUMIF('Antelope Bailey Split BA'!$B$7:$B$29,B136,'Antelope Bailey Split BA'!$C$7:$C$29)</f>
        <v>0</v>
      </c>
      <c r="Q136" s="403" t="str">
        <f>IF(AND(P136=1,'Plant Total by Account'!$H$1=2),"EKWRA","")</f>
        <v/>
      </c>
      <c r="S136" s="403">
        <f>SUMIF('ISO w_System Splits'!$D$524:$D$615,B136,'ISO w_System Splits'!$P$524:$P$615)</f>
        <v>0</v>
      </c>
      <c r="T136" s="403" t="str">
        <f>IF(AND(S136&lt;&gt;0,'Plant Total by Account'!$H$1=2),"EKWRA TL Change","")</f>
        <v/>
      </c>
      <c r="V136" s="77">
        <v>5652</v>
      </c>
      <c r="W136" s="404">
        <f t="shared" si="9"/>
        <v>0</v>
      </c>
    </row>
    <row r="137" spans="1:23" ht="12.75" customHeight="1" x14ac:dyDescent="0.2">
      <c r="A137" s="386" t="s">
        <v>2451</v>
      </c>
      <c r="B137" s="398" t="s">
        <v>601</v>
      </c>
      <c r="C137" s="398" t="s">
        <v>3334</v>
      </c>
      <c r="D137" s="399">
        <v>0</v>
      </c>
      <c r="E137" s="399">
        <v>0</v>
      </c>
      <c r="F137" s="399">
        <v>17343.27</v>
      </c>
      <c r="G137" s="524">
        <f t="shared" si="8"/>
        <v>17343.27</v>
      </c>
      <c r="H137" s="406"/>
      <c r="I137" s="407"/>
      <c r="J137" s="407"/>
      <c r="K137" s="406">
        <f t="shared" si="10"/>
        <v>0</v>
      </c>
      <c r="L137" s="406">
        <f t="shared" si="11"/>
        <v>0</v>
      </c>
      <c r="M137" s="406">
        <f t="shared" si="12"/>
        <v>17343.27</v>
      </c>
      <c r="N137" s="398" t="s">
        <v>3309</v>
      </c>
      <c r="O137" s="398"/>
      <c r="P137" s="403">
        <f>SUMIF('Antelope Bailey Split BA'!$B$7:$B$29,B137,'Antelope Bailey Split BA'!$C$7:$C$29)</f>
        <v>0</v>
      </c>
      <c r="Q137" s="403" t="str">
        <f>IF(AND(P137=1,'Plant Total by Account'!$H$1=2),"EKWRA","")</f>
        <v/>
      </c>
      <c r="S137" s="403">
        <f>SUMIF('ISO w_System Splits'!$D$524:$D$615,B137,'ISO w_System Splits'!$P$524:$P$615)</f>
        <v>0</v>
      </c>
      <c r="T137" s="403" t="str">
        <f>IF(AND(S137&lt;&gt;0,'Plant Total by Account'!$H$1=2),"EKWRA TL Change","")</f>
        <v/>
      </c>
      <c r="V137" s="77">
        <v>5664</v>
      </c>
      <c r="W137" s="404">
        <f t="shared" si="9"/>
        <v>0</v>
      </c>
    </row>
    <row r="138" spans="1:23" ht="12.75" customHeight="1" x14ac:dyDescent="0.2">
      <c r="A138" s="386" t="s">
        <v>2452</v>
      </c>
      <c r="B138" s="398" t="s">
        <v>625</v>
      </c>
      <c r="C138" s="398" t="s">
        <v>3334</v>
      </c>
      <c r="D138" s="399">
        <v>-2887.2</v>
      </c>
      <c r="E138" s="399">
        <v>0</v>
      </c>
      <c r="F138" s="399">
        <v>0</v>
      </c>
      <c r="G138" s="524">
        <f t="shared" ref="G138:G201" si="13">SUM(D138:F138)</f>
        <v>-2887.2</v>
      </c>
      <c r="H138" s="406"/>
      <c r="I138" s="407"/>
      <c r="J138" s="407"/>
      <c r="K138" s="406">
        <f t="shared" si="10"/>
        <v>-2887.2</v>
      </c>
      <c r="L138" s="406">
        <f t="shared" si="11"/>
        <v>0</v>
      </c>
      <c r="M138" s="406">
        <f t="shared" si="12"/>
        <v>0</v>
      </c>
      <c r="N138" s="398" t="s">
        <v>3309</v>
      </c>
      <c r="O138" s="398"/>
      <c r="P138" s="403">
        <f>SUMIF('Antelope Bailey Split BA'!$B$7:$B$29,B138,'Antelope Bailey Split BA'!$C$7:$C$29)</f>
        <v>0</v>
      </c>
      <c r="Q138" s="403" t="str">
        <f>IF(AND(P138=1,'Plant Total by Account'!$H$1=2),"EKWRA","")</f>
        <v/>
      </c>
      <c r="S138" s="403">
        <f>SUMIF('ISO w_System Splits'!$D$524:$D$615,B138,'ISO w_System Splits'!$P$524:$P$615)</f>
        <v>0</v>
      </c>
      <c r="T138" s="403" t="str">
        <f>IF(AND(S138&lt;&gt;0,'Plant Total by Account'!$H$1=2),"EKWRA TL Change","")</f>
        <v/>
      </c>
      <c r="V138" s="77">
        <v>5702</v>
      </c>
      <c r="W138" s="404">
        <f t="shared" ref="W138:W201" si="14">E:E-I:I-L:L</f>
        <v>0</v>
      </c>
    </row>
    <row r="139" spans="1:23" ht="12.75" customHeight="1" x14ac:dyDescent="0.2">
      <c r="A139" s="386" t="s">
        <v>2453</v>
      </c>
      <c r="B139" s="398" t="s">
        <v>645</v>
      </c>
      <c r="C139" s="398" t="s">
        <v>3333</v>
      </c>
      <c r="D139" s="399">
        <v>0</v>
      </c>
      <c r="E139" s="399">
        <v>0</v>
      </c>
      <c r="F139" s="399">
        <v>16862.599999999999</v>
      </c>
      <c r="G139" s="524">
        <f t="shared" si="13"/>
        <v>16862.599999999999</v>
      </c>
      <c r="H139" s="406"/>
      <c r="I139" s="407"/>
      <c r="J139" s="407"/>
      <c r="K139" s="406">
        <f t="shared" si="10"/>
        <v>0</v>
      </c>
      <c r="L139" s="406">
        <f t="shared" si="11"/>
        <v>0</v>
      </c>
      <c r="M139" s="406">
        <f t="shared" si="12"/>
        <v>16862.599999999999</v>
      </c>
      <c r="N139" s="398" t="s">
        <v>3309</v>
      </c>
      <c r="O139" s="398"/>
      <c r="P139" s="403">
        <f>SUMIF('Antelope Bailey Split BA'!$B$7:$B$29,B139,'Antelope Bailey Split BA'!$C$7:$C$29)</f>
        <v>0</v>
      </c>
      <c r="Q139" s="403" t="str">
        <f>IF(AND(P139=1,'Plant Total by Account'!$H$1=2),"EKWRA","")</f>
        <v/>
      </c>
      <c r="S139" s="403">
        <f>SUMIF('ISO w_System Splits'!$D$524:$D$615,B139,'ISO w_System Splits'!$P$524:$P$615)</f>
        <v>0</v>
      </c>
      <c r="T139" s="403" t="str">
        <f>IF(AND(S139&lt;&gt;0,'Plant Total by Account'!$H$1=2),"EKWRA TL Change","")</f>
        <v/>
      </c>
      <c r="V139" s="77">
        <v>5727</v>
      </c>
      <c r="W139" s="404">
        <f t="shared" si="14"/>
        <v>0</v>
      </c>
    </row>
    <row r="140" spans="1:23" ht="12.75" customHeight="1" x14ac:dyDescent="0.2">
      <c r="A140" s="386" t="s">
        <v>2454</v>
      </c>
      <c r="B140" s="398" t="s">
        <v>655</v>
      </c>
      <c r="C140" s="398" t="s">
        <v>3333</v>
      </c>
      <c r="D140" s="399">
        <v>0</v>
      </c>
      <c r="E140" s="399">
        <v>0</v>
      </c>
      <c r="F140" s="399">
        <v>114340.08000000002</v>
      </c>
      <c r="G140" s="524">
        <f t="shared" si="13"/>
        <v>114340.08000000002</v>
      </c>
      <c r="H140" s="406"/>
      <c r="I140" s="407"/>
      <c r="J140" s="407"/>
      <c r="K140" s="406">
        <f t="shared" si="10"/>
        <v>0</v>
      </c>
      <c r="L140" s="406">
        <f t="shared" si="11"/>
        <v>0</v>
      </c>
      <c r="M140" s="406">
        <f t="shared" si="12"/>
        <v>114340.08000000002</v>
      </c>
      <c r="N140" s="398" t="s">
        <v>3309</v>
      </c>
      <c r="O140" s="398"/>
      <c r="P140" s="403">
        <f>SUMIF('Antelope Bailey Split BA'!$B$7:$B$29,B140,'Antelope Bailey Split BA'!$C$7:$C$29)</f>
        <v>0</v>
      </c>
      <c r="Q140" s="403" t="str">
        <f>IF(AND(P140=1,'Plant Total by Account'!$H$1=2),"EKWRA","")</f>
        <v/>
      </c>
      <c r="S140" s="403">
        <f>SUMIF('ISO w_System Splits'!$D$524:$D$615,B140,'ISO w_System Splits'!$P$524:$P$615)</f>
        <v>0</v>
      </c>
      <c r="T140" s="403" t="str">
        <f>IF(AND(S140&lt;&gt;0,'Plant Total by Account'!$H$1=2),"EKWRA TL Change","")</f>
        <v/>
      </c>
      <c r="V140" s="77">
        <v>5740</v>
      </c>
      <c r="W140" s="404">
        <f t="shared" si="14"/>
        <v>0</v>
      </c>
    </row>
    <row r="141" spans="1:23" ht="12.75" customHeight="1" x14ac:dyDescent="0.2">
      <c r="A141" s="386" t="s">
        <v>2455</v>
      </c>
      <c r="B141" s="398" t="s">
        <v>669</v>
      </c>
      <c r="C141" s="398" t="s">
        <v>3334</v>
      </c>
      <c r="D141" s="399">
        <v>0</v>
      </c>
      <c r="E141" s="399">
        <v>0</v>
      </c>
      <c r="F141" s="399">
        <v>3790.13</v>
      </c>
      <c r="G141" s="524">
        <f t="shared" si="13"/>
        <v>3790.13</v>
      </c>
      <c r="H141" s="406"/>
      <c r="I141" s="407"/>
      <c r="J141" s="407"/>
      <c r="K141" s="406">
        <f t="shared" si="10"/>
        <v>0</v>
      </c>
      <c r="L141" s="406">
        <f t="shared" si="11"/>
        <v>0</v>
      </c>
      <c r="M141" s="406">
        <f t="shared" si="12"/>
        <v>3790.13</v>
      </c>
      <c r="N141" s="398" t="s">
        <v>3309</v>
      </c>
      <c r="O141" s="398"/>
      <c r="P141" s="403">
        <f>SUMIF('Antelope Bailey Split BA'!$B$7:$B$29,B141,'Antelope Bailey Split BA'!$C$7:$C$29)</f>
        <v>0</v>
      </c>
      <c r="Q141" s="403" t="str">
        <f>IF(AND(P141=1,'Plant Total by Account'!$H$1=2),"EKWRA","")</f>
        <v/>
      </c>
      <c r="S141" s="403">
        <f>SUMIF('ISO w_System Splits'!$D$524:$D$615,B141,'ISO w_System Splits'!$P$524:$P$615)</f>
        <v>0</v>
      </c>
      <c r="T141" s="403" t="str">
        <f>IF(AND(S141&lt;&gt;0,'Plant Total by Account'!$H$1=2),"EKWRA TL Change","")</f>
        <v/>
      </c>
      <c r="V141" s="77">
        <v>5758</v>
      </c>
      <c r="W141" s="404">
        <f t="shared" si="14"/>
        <v>0</v>
      </c>
    </row>
    <row r="142" spans="1:23" ht="12.75" customHeight="1" x14ac:dyDescent="0.2">
      <c r="A142" s="386" t="s">
        <v>2456</v>
      </c>
      <c r="B142" s="398" t="s">
        <v>690</v>
      </c>
      <c r="C142" s="398" t="s">
        <v>3334</v>
      </c>
      <c r="D142" s="399">
        <v>0</v>
      </c>
      <c r="E142" s="399">
        <v>0</v>
      </c>
      <c r="F142" s="399">
        <v>10818.68</v>
      </c>
      <c r="G142" s="524">
        <f t="shared" si="13"/>
        <v>10818.68</v>
      </c>
      <c r="H142" s="406"/>
      <c r="I142" s="407"/>
      <c r="J142" s="407"/>
      <c r="K142" s="406">
        <f t="shared" si="10"/>
        <v>0</v>
      </c>
      <c r="L142" s="406">
        <f t="shared" si="11"/>
        <v>0</v>
      </c>
      <c r="M142" s="406">
        <f t="shared" si="12"/>
        <v>10818.68</v>
      </c>
      <c r="N142" s="398" t="s">
        <v>3309</v>
      </c>
      <c r="O142" s="398"/>
      <c r="P142" s="403">
        <f>SUMIF('Antelope Bailey Split BA'!$B$7:$B$29,B142,'Antelope Bailey Split BA'!$C$7:$C$29)</f>
        <v>0</v>
      </c>
      <c r="Q142" s="403" t="str">
        <f>IF(AND(P142=1,'Plant Total by Account'!$H$1=2),"EKWRA","")</f>
        <v/>
      </c>
      <c r="S142" s="403">
        <f>SUMIF('ISO w_System Splits'!$D$524:$D$615,B142,'ISO w_System Splits'!$P$524:$P$615)</f>
        <v>0</v>
      </c>
      <c r="T142" s="403" t="str">
        <f>IF(AND(S142&lt;&gt;0,'Plant Total by Account'!$H$1=2),"EKWRA TL Change","")</f>
        <v/>
      </c>
      <c r="V142" s="77">
        <v>5783</v>
      </c>
      <c r="W142" s="404">
        <f t="shared" si="14"/>
        <v>0</v>
      </c>
    </row>
    <row r="143" spans="1:23" ht="12.75" customHeight="1" x14ac:dyDescent="0.2">
      <c r="A143" s="386" t="s">
        <v>2457</v>
      </c>
      <c r="B143" s="398" t="s">
        <v>693</v>
      </c>
      <c r="C143" s="398" t="s">
        <v>3333</v>
      </c>
      <c r="D143" s="399">
        <v>0</v>
      </c>
      <c r="E143" s="399">
        <v>0</v>
      </c>
      <c r="F143" s="399">
        <v>17255.400000000001</v>
      </c>
      <c r="G143" s="524">
        <f t="shared" si="13"/>
        <v>17255.400000000001</v>
      </c>
      <c r="H143" s="406"/>
      <c r="I143" s="407"/>
      <c r="J143" s="407"/>
      <c r="K143" s="406">
        <f t="shared" si="10"/>
        <v>0</v>
      </c>
      <c r="L143" s="406">
        <f t="shared" si="11"/>
        <v>0</v>
      </c>
      <c r="M143" s="406">
        <f t="shared" si="12"/>
        <v>17255.400000000001</v>
      </c>
      <c r="N143" s="398" t="s">
        <v>3309</v>
      </c>
      <c r="O143" s="398"/>
      <c r="P143" s="403">
        <f>SUMIF('Antelope Bailey Split BA'!$B$7:$B$29,B143,'Antelope Bailey Split BA'!$C$7:$C$29)</f>
        <v>0</v>
      </c>
      <c r="Q143" s="403" t="str">
        <f>IF(AND(P143=1,'Plant Total by Account'!$H$1=2),"EKWRA","")</f>
        <v/>
      </c>
      <c r="S143" s="403">
        <f>SUMIF('ISO w_System Splits'!$D$524:$D$615,B143,'ISO w_System Splits'!$P$524:$P$615)</f>
        <v>0</v>
      </c>
      <c r="T143" s="403" t="str">
        <f>IF(AND(S143&lt;&gt;0,'Plant Total by Account'!$H$1=2),"EKWRA TL Change","")</f>
        <v/>
      </c>
      <c r="V143" s="77">
        <v>5787</v>
      </c>
      <c r="W143" s="404">
        <f t="shared" si="14"/>
        <v>0</v>
      </c>
    </row>
    <row r="144" spans="1:23" ht="12.75" customHeight="1" x14ac:dyDescent="0.2">
      <c r="A144" s="386" t="s">
        <v>2458</v>
      </c>
      <c r="B144" s="398" t="s">
        <v>694</v>
      </c>
      <c r="C144" s="398" t="s">
        <v>3334</v>
      </c>
      <c r="D144" s="399">
        <v>0</v>
      </c>
      <c r="E144" s="399">
        <v>0</v>
      </c>
      <c r="F144" s="399">
        <v>17100.52</v>
      </c>
      <c r="G144" s="524">
        <f t="shared" si="13"/>
        <v>17100.52</v>
      </c>
      <c r="H144" s="406"/>
      <c r="I144" s="407"/>
      <c r="J144" s="407"/>
      <c r="K144" s="406">
        <f t="shared" si="10"/>
        <v>0</v>
      </c>
      <c r="L144" s="406">
        <f t="shared" si="11"/>
        <v>0</v>
      </c>
      <c r="M144" s="406">
        <f t="shared" si="12"/>
        <v>17100.52</v>
      </c>
      <c r="N144" s="398" t="s">
        <v>3309</v>
      </c>
      <c r="O144" s="398"/>
      <c r="P144" s="403">
        <f>SUMIF('Antelope Bailey Split BA'!$B$7:$B$29,B144,'Antelope Bailey Split BA'!$C$7:$C$29)</f>
        <v>0</v>
      </c>
      <c r="Q144" s="403" t="str">
        <f>IF(AND(P144=1,'Plant Total by Account'!$H$1=2),"EKWRA","")</f>
        <v/>
      </c>
      <c r="S144" s="403">
        <f>SUMIF('ISO w_System Splits'!$D$524:$D$615,B144,'ISO w_System Splits'!$P$524:$P$615)</f>
        <v>0</v>
      </c>
      <c r="T144" s="403" t="str">
        <f>IF(AND(S144&lt;&gt;0,'Plant Total by Account'!$H$1=2),"EKWRA TL Change","")</f>
        <v/>
      </c>
      <c r="V144" s="77">
        <v>5788</v>
      </c>
      <c r="W144" s="404">
        <f t="shared" si="14"/>
        <v>0</v>
      </c>
    </row>
    <row r="145" spans="1:23" ht="12.75" customHeight="1" x14ac:dyDescent="0.2">
      <c r="A145" s="386" t="s">
        <v>2459</v>
      </c>
      <c r="B145" s="398" t="s">
        <v>703</v>
      </c>
      <c r="C145" s="398" t="s">
        <v>3334</v>
      </c>
      <c r="D145" s="399">
        <v>0</v>
      </c>
      <c r="E145" s="399">
        <v>0</v>
      </c>
      <c r="F145" s="399">
        <v>17658.29</v>
      </c>
      <c r="G145" s="524">
        <f t="shared" si="13"/>
        <v>17658.29</v>
      </c>
      <c r="H145" s="406"/>
      <c r="I145" s="407"/>
      <c r="J145" s="407"/>
      <c r="K145" s="406">
        <f t="shared" si="10"/>
        <v>0</v>
      </c>
      <c r="L145" s="406">
        <f t="shared" si="11"/>
        <v>0</v>
      </c>
      <c r="M145" s="406">
        <f t="shared" si="12"/>
        <v>17658.29</v>
      </c>
      <c r="N145" s="398" t="s">
        <v>3309</v>
      </c>
      <c r="O145" s="398"/>
      <c r="P145" s="403">
        <f>SUMIF('Antelope Bailey Split BA'!$B$7:$B$29,B145,'Antelope Bailey Split BA'!$C$7:$C$29)</f>
        <v>0</v>
      </c>
      <c r="Q145" s="403" t="str">
        <f>IF(AND(P145=1,'Plant Total by Account'!$H$1=2),"EKWRA","")</f>
        <v/>
      </c>
      <c r="S145" s="403">
        <f>SUMIF('ISO w_System Splits'!$D$524:$D$615,B145,'ISO w_System Splits'!$P$524:$P$615)</f>
        <v>0</v>
      </c>
      <c r="T145" s="403" t="str">
        <f>IF(AND(S145&lt;&gt;0,'Plant Total by Account'!$H$1=2),"EKWRA TL Change","")</f>
        <v/>
      </c>
      <c r="V145" s="77">
        <v>5798</v>
      </c>
      <c r="W145" s="404">
        <f t="shared" si="14"/>
        <v>0</v>
      </c>
    </row>
    <row r="146" spans="1:23" ht="12.75" customHeight="1" x14ac:dyDescent="0.2">
      <c r="A146" s="386" t="s">
        <v>2460</v>
      </c>
      <c r="B146" s="398" t="s">
        <v>710</v>
      </c>
      <c r="C146" s="398" t="s">
        <v>3334</v>
      </c>
      <c r="D146" s="399">
        <v>0</v>
      </c>
      <c r="E146" s="399">
        <v>0</v>
      </c>
      <c r="F146" s="399">
        <v>80113.89</v>
      </c>
      <c r="G146" s="524">
        <f t="shared" si="13"/>
        <v>80113.89</v>
      </c>
      <c r="H146" s="406"/>
      <c r="I146" s="407"/>
      <c r="J146" s="407"/>
      <c r="K146" s="406">
        <f t="shared" si="10"/>
        <v>0</v>
      </c>
      <c r="L146" s="406">
        <f t="shared" si="11"/>
        <v>0</v>
      </c>
      <c r="M146" s="406">
        <f t="shared" si="12"/>
        <v>80113.89</v>
      </c>
      <c r="N146" s="398" t="s">
        <v>3309</v>
      </c>
      <c r="O146" s="398"/>
      <c r="P146" s="403">
        <f>SUMIF('Antelope Bailey Split BA'!$B$7:$B$29,B146,'Antelope Bailey Split BA'!$C$7:$C$29)</f>
        <v>0</v>
      </c>
      <c r="Q146" s="403" t="str">
        <f>IF(AND(P146=1,'Plant Total by Account'!$H$1=2),"EKWRA","")</f>
        <v/>
      </c>
      <c r="S146" s="403">
        <f>SUMIF('ISO w_System Splits'!$D$524:$D$615,B146,'ISO w_System Splits'!$P$524:$P$615)</f>
        <v>0</v>
      </c>
      <c r="T146" s="403" t="str">
        <f>IF(AND(S146&lt;&gt;0,'Plant Total by Account'!$H$1=2),"EKWRA TL Change","")</f>
        <v/>
      </c>
      <c r="V146" s="77">
        <v>5805</v>
      </c>
      <c r="W146" s="404">
        <f t="shared" si="14"/>
        <v>0</v>
      </c>
    </row>
    <row r="147" spans="1:23" ht="12.75" customHeight="1" x14ac:dyDescent="0.2">
      <c r="A147" s="386" t="s">
        <v>2461</v>
      </c>
      <c r="B147" s="398" t="s">
        <v>719</v>
      </c>
      <c r="C147" s="398" t="s">
        <v>3334</v>
      </c>
      <c r="D147" s="399">
        <v>0</v>
      </c>
      <c r="E147" s="399">
        <v>0</v>
      </c>
      <c r="F147" s="399">
        <v>17757.55</v>
      </c>
      <c r="G147" s="524">
        <f t="shared" si="13"/>
        <v>17757.55</v>
      </c>
      <c r="H147" s="406"/>
      <c r="I147" s="407"/>
      <c r="J147" s="407"/>
      <c r="K147" s="406">
        <f t="shared" si="10"/>
        <v>0</v>
      </c>
      <c r="L147" s="406">
        <f t="shared" si="11"/>
        <v>0</v>
      </c>
      <c r="M147" s="406">
        <f t="shared" si="12"/>
        <v>17757.55</v>
      </c>
      <c r="N147" s="398" t="s">
        <v>3309</v>
      </c>
      <c r="O147" s="398"/>
      <c r="P147" s="403">
        <f>SUMIF('Antelope Bailey Split BA'!$B$7:$B$29,B147,'Antelope Bailey Split BA'!$C$7:$C$29)</f>
        <v>0</v>
      </c>
      <c r="Q147" s="403" t="str">
        <f>IF(AND(P147=1,'Plant Total by Account'!$H$1=2),"EKWRA","")</f>
        <v/>
      </c>
      <c r="S147" s="403">
        <f>SUMIF('ISO w_System Splits'!$D$524:$D$615,B147,'ISO w_System Splits'!$P$524:$P$615)</f>
        <v>0</v>
      </c>
      <c r="T147" s="403" t="str">
        <f>IF(AND(S147&lt;&gt;0,'Plant Total by Account'!$H$1=2),"EKWRA TL Change","")</f>
        <v/>
      </c>
      <c r="V147" s="77">
        <v>5814</v>
      </c>
      <c r="W147" s="404">
        <f t="shared" si="14"/>
        <v>0</v>
      </c>
    </row>
    <row r="148" spans="1:23" ht="12.75" customHeight="1" x14ac:dyDescent="0.2">
      <c r="A148" s="386" t="s">
        <v>2462</v>
      </c>
      <c r="B148" s="398" t="s">
        <v>721</v>
      </c>
      <c r="C148" s="398" t="s">
        <v>3334</v>
      </c>
      <c r="D148" s="399">
        <v>0</v>
      </c>
      <c r="E148" s="399">
        <v>93280.11</v>
      </c>
      <c r="F148" s="399">
        <v>0</v>
      </c>
      <c r="G148" s="524">
        <f t="shared" si="13"/>
        <v>93280.11</v>
      </c>
      <c r="H148" s="406"/>
      <c r="I148" s="407"/>
      <c r="J148" s="407"/>
      <c r="K148" s="406">
        <f t="shared" si="10"/>
        <v>0</v>
      </c>
      <c r="L148" s="406">
        <f t="shared" si="11"/>
        <v>93280.11</v>
      </c>
      <c r="M148" s="406">
        <f t="shared" si="12"/>
        <v>0</v>
      </c>
      <c r="N148" s="398" t="s">
        <v>3309</v>
      </c>
      <c r="O148" s="398"/>
      <c r="P148" s="403">
        <f>SUMIF('Antelope Bailey Split BA'!$B$7:$B$29,B148,'Antelope Bailey Split BA'!$C$7:$C$29)</f>
        <v>0</v>
      </c>
      <c r="Q148" s="403" t="str">
        <f>IF(AND(P148=1,'Plant Total by Account'!$H$1=2),"EKWRA","")</f>
        <v/>
      </c>
      <c r="S148" s="403">
        <f>SUMIF('ISO w_System Splits'!$D$524:$D$615,B148,'ISO w_System Splits'!$P$524:$P$615)</f>
        <v>0</v>
      </c>
      <c r="T148" s="403" t="str">
        <f>IF(AND(S148&lt;&gt;0,'Plant Total by Account'!$H$1=2),"EKWRA TL Change","")</f>
        <v/>
      </c>
      <c r="V148" s="77">
        <v>5816</v>
      </c>
      <c r="W148" s="404">
        <f t="shared" si="14"/>
        <v>0</v>
      </c>
    </row>
    <row r="149" spans="1:23" ht="12.75" customHeight="1" x14ac:dyDescent="0.2">
      <c r="A149" s="386" t="s">
        <v>2463</v>
      </c>
      <c r="B149" s="398" t="s">
        <v>732</v>
      </c>
      <c r="C149" s="398" t="s">
        <v>3334</v>
      </c>
      <c r="D149" s="399">
        <v>0</v>
      </c>
      <c r="E149" s="399">
        <v>0</v>
      </c>
      <c r="F149" s="399">
        <v>17259.349999999999</v>
      </c>
      <c r="G149" s="524">
        <f t="shared" si="13"/>
        <v>17259.349999999999</v>
      </c>
      <c r="H149" s="406"/>
      <c r="I149" s="407"/>
      <c r="J149" s="407"/>
      <c r="K149" s="406">
        <f t="shared" si="10"/>
        <v>0</v>
      </c>
      <c r="L149" s="406">
        <f t="shared" si="11"/>
        <v>0</v>
      </c>
      <c r="M149" s="406">
        <f t="shared" si="12"/>
        <v>17259.349999999999</v>
      </c>
      <c r="N149" s="398" t="s">
        <v>3309</v>
      </c>
      <c r="O149" s="398"/>
      <c r="P149" s="403">
        <f>SUMIF('Antelope Bailey Split BA'!$B$7:$B$29,B149,'Antelope Bailey Split BA'!$C$7:$C$29)</f>
        <v>0</v>
      </c>
      <c r="Q149" s="403" t="str">
        <f>IF(AND(P149=1,'Plant Total by Account'!$H$1=2),"EKWRA","")</f>
        <v/>
      </c>
      <c r="S149" s="403">
        <f>SUMIF('ISO w_System Splits'!$D$524:$D$615,B149,'ISO w_System Splits'!$P$524:$P$615)</f>
        <v>0</v>
      </c>
      <c r="T149" s="403" t="str">
        <f>IF(AND(S149&lt;&gt;0,'Plant Total by Account'!$H$1=2),"EKWRA TL Change","")</f>
        <v/>
      </c>
      <c r="V149" s="77">
        <v>5828</v>
      </c>
      <c r="W149" s="404">
        <f t="shared" si="14"/>
        <v>0</v>
      </c>
    </row>
    <row r="150" spans="1:23" ht="12.75" customHeight="1" x14ac:dyDescent="0.2">
      <c r="A150" s="386" t="s">
        <v>2464</v>
      </c>
      <c r="B150" s="398" t="s">
        <v>735</v>
      </c>
      <c r="C150" s="398" t="s">
        <v>3334</v>
      </c>
      <c r="D150" s="399">
        <v>0</v>
      </c>
      <c r="E150" s="399">
        <v>0</v>
      </c>
      <c r="F150" s="399">
        <v>17124.63</v>
      </c>
      <c r="G150" s="524">
        <f t="shared" si="13"/>
        <v>17124.63</v>
      </c>
      <c r="H150" s="406"/>
      <c r="I150" s="407"/>
      <c r="J150" s="407"/>
      <c r="K150" s="406">
        <f t="shared" si="10"/>
        <v>0</v>
      </c>
      <c r="L150" s="406">
        <f t="shared" si="11"/>
        <v>0</v>
      </c>
      <c r="M150" s="406">
        <f t="shared" si="12"/>
        <v>17124.63</v>
      </c>
      <c r="N150" s="398" t="s">
        <v>3309</v>
      </c>
      <c r="O150" s="398"/>
      <c r="P150" s="403">
        <f>SUMIF('Antelope Bailey Split BA'!$B$7:$B$29,B150,'Antelope Bailey Split BA'!$C$7:$C$29)</f>
        <v>0</v>
      </c>
      <c r="Q150" s="403" t="str">
        <f>IF(AND(P150=1,'Plant Total by Account'!$H$1=2),"EKWRA","")</f>
        <v/>
      </c>
      <c r="S150" s="403">
        <f>SUMIF('ISO w_System Splits'!$D$524:$D$615,B150,'ISO w_System Splits'!$P$524:$P$615)</f>
        <v>0</v>
      </c>
      <c r="T150" s="403" t="str">
        <f>IF(AND(S150&lt;&gt;0,'Plant Total by Account'!$H$1=2),"EKWRA TL Change","")</f>
        <v/>
      </c>
      <c r="V150" s="77">
        <v>5832</v>
      </c>
      <c r="W150" s="404">
        <f t="shared" si="14"/>
        <v>0</v>
      </c>
    </row>
    <row r="151" spans="1:23" ht="12.75" customHeight="1" x14ac:dyDescent="0.2">
      <c r="A151" s="386" t="s">
        <v>2465</v>
      </c>
      <c r="B151" s="398" t="s">
        <v>744</v>
      </c>
      <c r="C151" s="398" t="s">
        <v>3334</v>
      </c>
      <c r="D151" s="399">
        <v>0</v>
      </c>
      <c r="E151" s="399">
        <v>0</v>
      </c>
      <c r="F151" s="399">
        <v>57621.41</v>
      </c>
      <c r="G151" s="524">
        <f t="shared" si="13"/>
        <v>57621.41</v>
      </c>
      <c r="H151" s="406"/>
      <c r="I151" s="407"/>
      <c r="J151" s="407"/>
      <c r="K151" s="406">
        <f t="shared" si="10"/>
        <v>0</v>
      </c>
      <c r="L151" s="406">
        <f t="shared" si="11"/>
        <v>0</v>
      </c>
      <c r="M151" s="406">
        <f t="shared" si="12"/>
        <v>57621.41</v>
      </c>
      <c r="N151" s="398" t="s">
        <v>3309</v>
      </c>
      <c r="O151" s="398"/>
      <c r="P151" s="403">
        <f>SUMIF('Antelope Bailey Split BA'!$B$7:$B$29,B151,'Antelope Bailey Split BA'!$C$7:$C$29)</f>
        <v>0</v>
      </c>
      <c r="Q151" s="403" t="str">
        <f>IF(AND(P151=1,'Plant Total by Account'!$H$1=2),"EKWRA","")</f>
        <v/>
      </c>
      <c r="S151" s="403">
        <f>SUMIF('ISO w_System Splits'!$D$524:$D$615,B151,'ISO w_System Splits'!$P$524:$P$615)</f>
        <v>0</v>
      </c>
      <c r="T151" s="403" t="str">
        <f>IF(AND(S151&lt;&gt;0,'Plant Total by Account'!$H$1=2),"EKWRA TL Change","")</f>
        <v/>
      </c>
      <c r="V151" s="77">
        <v>5842</v>
      </c>
      <c r="W151" s="404">
        <f t="shared" si="14"/>
        <v>0</v>
      </c>
    </row>
    <row r="152" spans="1:23" ht="12.75" customHeight="1" x14ac:dyDescent="0.2">
      <c r="A152" s="386" t="s">
        <v>2466</v>
      </c>
      <c r="B152" s="398" t="s">
        <v>759</v>
      </c>
      <c r="C152" s="398" t="s">
        <v>3334</v>
      </c>
      <c r="D152" s="399">
        <v>241261.67</v>
      </c>
      <c r="E152" s="399">
        <v>0</v>
      </c>
      <c r="F152" s="399">
        <v>0</v>
      </c>
      <c r="G152" s="524">
        <f t="shared" si="13"/>
        <v>241261.67</v>
      </c>
      <c r="H152" s="406"/>
      <c r="I152" s="407"/>
      <c r="J152" s="407"/>
      <c r="K152" s="406">
        <f t="shared" si="10"/>
        <v>241261.67</v>
      </c>
      <c r="L152" s="406">
        <f t="shared" si="11"/>
        <v>0</v>
      </c>
      <c r="M152" s="406">
        <f t="shared" si="12"/>
        <v>0</v>
      </c>
      <c r="N152" s="398" t="s">
        <v>3309</v>
      </c>
      <c r="O152" s="398"/>
      <c r="P152" s="403">
        <f>SUMIF('Antelope Bailey Split BA'!$B$7:$B$29,B152,'Antelope Bailey Split BA'!$C$7:$C$29)</f>
        <v>0</v>
      </c>
      <c r="Q152" s="403" t="str">
        <f>IF(AND(P152=1,'Plant Total by Account'!$H$1=2),"EKWRA","")</f>
        <v/>
      </c>
      <c r="S152" s="403">
        <f>SUMIF('ISO w_System Splits'!$D$524:$D$615,B152,'ISO w_System Splits'!$P$524:$P$615)</f>
        <v>0</v>
      </c>
      <c r="T152" s="403" t="str">
        <f>IF(AND(S152&lt;&gt;0,'Plant Total by Account'!$H$1=2),"EKWRA TL Change","")</f>
        <v/>
      </c>
      <c r="V152" s="77">
        <v>5860</v>
      </c>
      <c r="W152" s="404">
        <f t="shared" si="14"/>
        <v>0</v>
      </c>
    </row>
    <row r="153" spans="1:23" ht="12.75" customHeight="1" x14ac:dyDescent="0.2">
      <c r="A153" s="386" t="s">
        <v>2467</v>
      </c>
      <c r="B153" s="398" t="s">
        <v>761</v>
      </c>
      <c r="C153" s="398" t="s">
        <v>3334</v>
      </c>
      <c r="D153" s="399">
        <v>0</v>
      </c>
      <c r="E153" s="399">
        <v>0</v>
      </c>
      <c r="F153" s="399">
        <v>14801.710000000001</v>
      </c>
      <c r="G153" s="524">
        <f t="shared" si="13"/>
        <v>14801.710000000001</v>
      </c>
      <c r="H153" s="406"/>
      <c r="I153" s="407"/>
      <c r="J153" s="407"/>
      <c r="K153" s="406">
        <f t="shared" si="10"/>
        <v>0</v>
      </c>
      <c r="L153" s="406">
        <f t="shared" si="11"/>
        <v>0</v>
      </c>
      <c r="M153" s="406">
        <f t="shared" si="12"/>
        <v>14801.710000000001</v>
      </c>
      <c r="N153" s="398" t="s">
        <v>3309</v>
      </c>
      <c r="O153" s="398"/>
      <c r="P153" s="403">
        <f>SUMIF('Antelope Bailey Split BA'!$B$7:$B$29,B153,'Antelope Bailey Split BA'!$C$7:$C$29)</f>
        <v>0</v>
      </c>
      <c r="Q153" s="403" t="str">
        <f>IF(AND(P153=1,'Plant Total by Account'!$H$1=2),"EKWRA","")</f>
        <v/>
      </c>
      <c r="S153" s="403">
        <f>SUMIF('ISO w_System Splits'!$D$524:$D$615,B153,'ISO w_System Splits'!$P$524:$P$615)</f>
        <v>0</v>
      </c>
      <c r="T153" s="403" t="str">
        <f>IF(AND(S153&lt;&gt;0,'Plant Total by Account'!$H$1=2),"EKWRA TL Change","")</f>
        <v/>
      </c>
      <c r="V153" s="77">
        <v>5862</v>
      </c>
      <c r="W153" s="404">
        <f t="shared" si="14"/>
        <v>0</v>
      </c>
    </row>
    <row r="154" spans="1:23" ht="12.75" customHeight="1" x14ac:dyDescent="0.2">
      <c r="A154" s="386" t="s">
        <v>2468</v>
      </c>
      <c r="B154" s="398" t="s">
        <v>767</v>
      </c>
      <c r="C154" s="398" t="s">
        <v>3334</v>
      </c>
      <c r="D154" s="399">
        <v>0</v>
      </c>
      <c r="E154" s="399">
        <v>0</v>
      </c>
      <c r="F154" s="399">
        <v>17288.920000000002</v>
      </c>
      <c r="G154" s="524">
        <f t="shared" si="13"/>
        <v>17288.920000000002</v>
      </c>
      <c r="H154" s="406"/>
      <c r="I154" s="407"/>
      <c r="J154" s="407"/>
      <c r="K154" s="406">
        <f t="shared" si="10"/>
        <v>0</v>
      </c>
      <c r="L154" s="406">
        <f t="shared" si="11"/>
        <v>0</v>
      </c>
      <c r="M154" s="406">
        <f t="shared" si="12"/>
        <v>17288.920000000002</v>
      </c>
      <c r="N154" s="398" t="s">
        <v>3309</v>
      </c>
      <c r="O154" s="398"/>
      <c r="P154" s="403">
        <f>SUMIF('Antelope Bailey Split BA'!$B$7:$B$29,B154,'Antelope Bailey Split BA'!$C$7:$C$29)</f>
        <v>0</v>
      </c>
      <c r="Q154" s="403" t="str">
        <f>IF(AND(P154=1,'Plant Total by Account'!$H$1=2),"EKWRA","")</f>
        <v/>
      </c>
      <c r="S154" s="403">
        <f>SUMIF('ISO w_System Splits'!$D$524:$D$615,B154,'ISO w_System Splits'!$P$524:$P$615)</f>
        <v>0</v>
      </c>
      <c r="T154" s="403" t="str">
        <f>IF(AND(S154&lt;&gt;0,'Plant Total by Account'!$H$1=2),"EKWRA TL Change","")</f>
        <v/>
      </c>
      <c r="V154" s="77">
        <v>5869</v>
      </c>
      <c r="W154" s="404">
        <f t="shared" si="14"/>
        <v>0</v>
      </c>
    </row>
    <row r="155" spans="1:23" ht="12.75" customHeight="1" x14ac:dyDescent="0.2">
      <c r="A155" s="386" t="s">
        <v>2469</v>
      </c>
      <c r="B155" s="398" t="s">
        <v>774</v>
      </c>
      <c r="C155" s="398" t="s">
        <v>3334</v>
      </c>
      <c r="D155" s="399">
        <v>11308.24</v>
      </c>
      <c r="E155" s="399">
        <v>0</v>
      </c>
      <c r="F155" s="399">
        <v>0</v>
      </c>
      <c r="G155" s="524">
        <f t="shared" si="13"/>
        <v>11308.24</v>
      </c>
      <c r="H155" s="406"/>
      <c r="I155" s="407"/>
      <c r="J155" s="407"/>
      <c r="K155" s="406">
        <f t="shared" si="10"/>
        <v>11308.24</v>
      </c>
      <c r="L155" s="406">
        <f t="shared" si="11"/>
        <v>0</v>
      </c>
      <c r="M155" s="406">
        <f t="shared" si="12"/>
        <v>0</v>
      </c>
      <c r="N155" s="398" t="s">
        <v>3309</v>
      </c>
      <c r="O155" s="398"/>
      <c r="P155" s="403">
        <f>SUMIF('Antelope Bailey Split BA'!$B$7:$B$29,B155,'Antelope Bailey Split BA'!$C$7:$C$29)</f>
        <v>0</v>
      </c>
      <c r="Q155" s="403" t="str">
        <f>IF(AND(P155=1,'Plant Total by Account'!$H$1=2),"EKWRA","")</f>
        <v/>
      </c>
      <c r="S155" s="403">
        <f>SUMIF('ISO w_System Splits'!$D$524:$D$615,B155,'ISO w_System Splits'!$P$524:$P$615)</f>
        <v>0</v>
      </c>
      <c r="T155" s="403" t="str">
        <f>IF(AND(S155&lt;&gt;0,'Plant Total by Account'!$H$1=2),"EKWRA TL Change","")</f>
        <v/>
      </c>
      <c r="V155" s="77">
        <v>5878</v>
      </c>
      <c r="W155" s="404">
        <f t="shared" si="14"/>
        <v>0</v>
      </c>
    </row>
    <row r="156" spans="1:23" ht="12.75" customHeight="1" x14ac:dyDescent="0.2">
      <c r="A156" s="386" t="s">
        <v>2470</v>
      </c>
      <c r="B156" s="398" t="s">
        <v>786</v>
      </c>
      <c r="C156" s="398" t="s">
        <v>3334</v>
      </c>
      <c r="D156" s="399">
        <v>0</v>
      </c>
      <c r="E156" s="399">
        <v>12559.82</v>
      </c>
      <c r="F156" s="399">
        <v>16160.31</v>
      </c>
      <c r="G156" s="524">
        <f t="shared" si="13"/>
        <v>28720.129999999997</v>
      </c>
      <c r="H156" s="406"/>
      <c r="I156" s="407"/>
      <c r="J156" s="407"/>
      <c r="K156" s="406">
        <f t="shared" si="10"/>
        <v>0</v>
      </c>
      <c r="L156" s="406">
        <f t="shared" si="11"/>
        <v>12559.82</v>
      </c>
      <c r="M156" s="406">
        <f t="shared" si="12"/>
        <v>16160.31</v>
      </c>
      <c r="N156" s="398" t="s">
        <v>3309</v>
      </c>
      <c r="O156" s="398"/>
      <c r="P156" s="403">
        <f>SUMIF('Antelope Bailey Split BA'!$B$7:$B$29,B156,'Antelope Bailey Split BA'!$C$7:$C$29)</f>
        <v>0</v>
      </c>
      <c r="Q156" s="403" t="str">
        <f>IF(AND(P156=1,'Plant Total by Account'!$H$1=2),"EKWRA","")</f>
        <v/>
      </c>
      <c r="S156" s="403">
        <f>SUMIF('ISO w_System Splits'!$D$524:$D$615,B156,'ISO w_System Splits'!$P$524:$P$615)</f>
        <v>0</v>
      </c>
      <c r="T156" s="403" t="str">
        <f>IF(AND(S156&lt;&gt;0,'Plant Total by Account'!$H$1=2),"EKWRA TL Change","")</f>
        <v/>
      </c>
      <c r="V156" s="77">
        <v>5892</v>
      </c>
      <c r="W156" s="404">
        <f t="shared" si="14"/>
        <v>0</v>
      </c>
    </row>
    <row r="157" spans="1:23" ht="12.75" customHeight="1" x14ac:dyDescent="0.2">
      <c r="A157" s="386" t="s">
        <v>2471</v>
      </c>
      <c r="B157" s="398" t="s">
        <v>790</v>
      </c>
      <c r="C157" s="398" t="s">
        <v>3334</v>
      </c>
      <c r="D157" s="399">
        <v>0</v>
      </c>
      <c r="E157" s="399">
        <v>0</v>
      </c>
      <c r="F157" s="399">
        <v>21383.5</v>
      </c>
      <c r="G157" s="524">
        <f t="shared" si="13"/>
        <v>21383.5</v>
      </c>
      <c r="H157" s="406"/>
      <c r="I157" s="407"/>
      <c r="J157" s="407"/>
      <c r="K157" s="406">
        <f t="shared" si="10"/>
        <v>0</v>
      </c>
      <c r="L157" s="406">
        <f t="shared" si="11"/>
        <v>0</v>
      </c>
      <c r="M157" s="406">
        <f t="shared" si="12"/>
        <v>21383.5</v>
      </c>
      <c r="N157" s="398" t="s">
        <v>3309</v>
      </c>
      <c r="O157" s="398"/>
      <c r="P157" s="403">
        <f>SUMIF('Antelope Bailey Split BA'!$B$7:$B$29,B157,'Antelope Bailey Split BA'!$C$7:$C$29)</f>
        <v>0</v>
      </c>
      <c r="Q157" s="403" t="str">
        <f>IF(AND(P157=1,'Plant Total by Account'!$H$1=2),"EKWRA","")</f>
        <v/>
      </c>
      <c r="S157" s="403">
        <f>SUMIF('ISO w_System Splits'!$D$524:$D$615,B157,'ISO w_System Splits'!$P$524:$P$615)</f>
        <v>0</v>
      </c>
      <c r="T157" s="403" t="str">
        <f>IF(AND(S157&lt;&gt;0,'Plant Total by Account'!$H$1=2),"EKWRA TL Change","")</f>
        <v/>
      </c>
      <c r="V157" s="77">
        <v>5896</v>
      </c>
      <c r="W157" s="404">
        <f t="shared" si="14"/>
        <v>0</v>
      </c>
    </row>
    <row r="158" spans="1:23" ht="12.75" customHeight="1" x14ac:dyDescent="0.2">
      <c r="A158" s="386" t="s">
        <v>2472</v>
      </c>
      <c r="B158" s="398" t="s">
        <v>2239</v>
      </c>
      <c r="C158" s="398" t="s">
        <v>3334</v>
      </c>
      <c r="D158" s="399">
        <v>4664176.95</v>
      </c>
      <c r="E158" s="399">
        <v>0</v>
      </c>
      <c r="F158" s="399">
        <v>0</v>
      </c>
      <c r="G158" s="524">
        <f t="shared" si="13"/>
        <v>4664176.95</v>
      </c>
      <c r="H158" s="406"/>
      <c r="I158" s="407"/>
      <c r="J158" s="407"/>
      <c r="K158" s="406">
        <f t="shared" si="10"/>
        <v>4664176.95</v>
      </c>
      <c r="L158" s="406">
        <f t="shared" si="11"/>
        <v>0</v>
      </c>
      <c r="M158" s="406">
        <f t="shared" si="12"/>
        <v>0</v>
      </c>
      <c r="N158" s="398" t="s">
        <v>3309</v>
      </c>
      <c r="O158" s="398"/>
      <c r="P158" s="403">
        <f>SUMIF('Antelope Bailey Split BA'!$B$7:$B$29,B158,'Antelope Bailey Split BA'!$C$7:$C$29)</f>
        <v>0</v>
      </c>
      <c r="Q158" s="403" t="str">
        <f>IF(AND(P158=1,'Plant Total by Account'!$H$1=2),"EKWRA","")</f>
        <v/>
      </c>
      <c r="S158" s="403">
        <f>SUMIF('ISO w_System Splits'!$D$524:$D$615,B158,'ISO w_System Splits'!$P$524:$P$615)</f>
        <v>0</v>
      </c>
      <c r="T158" s="403" t="str">
        <f>IF(AND(S158&lt;&gt;0,'Plant Total by Account'!$H$1=2),"EKWRA TL Change","")</f>
        <v/>
      </c>
      <c r="V158" s="77">
        <v>5902</v>
      </c>
      <c r="W158" s="404">
        <f t="shared" si="14"/>
        <v>0</v>
      </c>
    </row>
    <row r="159" spans="1:23" ht="12.75" customHeight="1" x14ac:dyDescent="0.2">
      <c r="A159" s="386" t="s">
        <v>2473</v>
      </c>
      <c r="B159" s="398" t="s">
        <v>1173</v>
      </c>
      <c r="C159" s="398" t="s">
        <v>3329</v>
      </c>
      <c r="D159" s="399">
        <v>110642.68000000001</v>
      </c>
      <c r="E159" s="399">
        <v>489588.58</v>
      </c>
      <c r="F159" s="399">
        <v>3071112.8299999996</v>
      </c>
      <c r="G159" s="524">
        <f t="shared" si="13"/>
        <v>3671344.09</v>
      </c>
      <c r="H159" s="406"/>
      <c r="I159" s="407"/>
      <c r="J159" s="407"/>
      <c r="K159" s="406">
        <f t="shared" si="10"/>
        <v>110642.68000000001</v>
      </c>
      <c r="L159" s="406">
        <f t="shared" si="11"/>
        <v>489588.58</v>
      </c>
      <c r="M159" s="406">
        <f t="shared" si="12"/>
        <v>3071112.8299999996</v>
      </c>
      <c r="N159" s="398" t="s">
        <v>3309</v>
      </c>
      <c r="O159" s="398"/>
      <c r="P159" s="403">
        <f>SUMIF('Antelope Bailey Split BA'!$B$7:$B$29,B159,'Antelope Bailey Split BA'!$C$7:$C$29)</f>
        <v>0</v>
      </c>
      <c r="Q159" s="403" t="str">
        <f>IF(AND(P159=1,'Plant Total by Account'!$H$1=2),"EKWRA","")</f>
        <v/>
      </c>
      <c r="S159" s="403">
        <f>SUMIF('ISO w_System Splits'!$D$524:$D$615,B159,'ISO w_System Splits'!$P$524:$P$615)</f>
        <v>0</v>
      </c>
      <c r="T159" s="403" t="str">
        <f>IF(AND(S159&lt;&gt;0,'Plant Total by Account'!$H$1=2),"EKWRA TL Change","")</f>
        <v/>
      </c>
      <c r="V159" s="77">
        <v>8000</v>
      </c>
      <c r="W159" s="404">
        <f t="shared" si="14"/>
        <v>0</v>
      </c>
    </row>
    <row r="160" spans="1:23" ht="12.75" customHeight="1" x14ac:dyDescent="0.2">
      <c r="A160" s="386" t="s">
        <v>2474</v>
      </c>
      <c r="B160" s="398" t="s">
        <v>1174</v>
      </c>
      <c r="C160" s="398" t="s">
        <v>3329</v>
      </c>
      <c r="D160" s="399">
        <v>106824.87</v>
      </c>
      <c r="E160" s="399">
        <v>763110.8899999999</v>
      </c>
      <c r="F160" s="399">
        <v>8151807.2800000021</v>
      </c>
      <c r="G160" s="524">
        <f t="shared" si="13"/>
        <v>9021743.0400000028</v>
      </c>
      <c r="H160" s="406"/>
      <c r="I160" s="407"/>
      <c r="J160" s="407"/>
      <c r="K160" s="406">
        <f t="shared" si="10"/>
        <v>106824.87</v>
      </c>
      <c r="L160" s="406">
        <f t="shared" si="11"/>
        <v>763110.8899999999</v>
      </c>
      <c r="M160" s="406">
        <f t="shared" si="12"/>
        <v>8151807.2800000021</v>
      </c>
      <c r="N160" s="398" t="s">
        <v>3309</v>
      </c>
      <c r="O160" s="398"/>
      <c r="P160" s="403">
        <f>SUMIF('Antelope Bailey Split BA'!$B$7:$B$29,B160,'Antelope Bailey Split BA'!$C$7:$C$29)</f>
        <v>0</v>
      </c>
      <c r="Q160" s="403" t="str">
        <f>IF(AND(P160=1,'Plant Total by Account'!$H$1=2),"EKWRA","")</f>
        <v/>
      </c>
      <c r="S160" s="403">
        <f>SUMIF('ISO w_System Splits'!$D$524:$D$615,B160,'ISO w_System Splits'!$P$524:$P$615)</f>
        <v>0</v>
      </c>
      <c r="T160" s="403" t="str">
        <f>IF(AND(S160&lt;&gt;0,'Plant Total by Account'!$H$1=2),"EKWRA TL Change","")</f>
        <v/>
      </c>
      <c r="V160" s="77">
        <v>8003</v>
      </c>
      <c r="W160" s="404">
        <f t="shared" si="14"/>
        <v>0</v>
      </c>
    </row>
    <row r="161" spans="1:23" ht="12.75" customHeight="1" x14ac:dyDescent="0.2">
      <c r="A161" s="386" t="s">
        <v>2475</v>
      </c>
      <c r="B161" s="398" t="s">
        <v>1175</v>
      </c>
      <c r="C161" s="398" t="s">
        <v>3329</v>
      </c>
      <c r="D161" s="399">
        <v>25608.82</v>
      </c>
      <c r="E161" s="399">
        <v>965298.06</v>
      </c>
      <c r="F161" s="399">
        <v>6875834.8700000001</v>
      </c>
      <c r="G161" s="524">
        <f t="shared" si="13"/>
        <v>7866741.75</v>
      </c>
      <c r="H161" s="406"/>
      <c r="I161" s="407"/>
      <c r="J161" s="407"/>
      <c r="K161" s="406">
        <f t="shared" si="10"/>
        <v>25608.82</v>
      </c>
      <c r="L161" s="406">
        <f t="shared" si="11"/>
        <v>965298.06</v>
      </c>
      <c r="M161" s="406">
        <f t="shared" si="12"/>
        <v>6875834.8700000001</v>
      </c>
      <c r="N161" s="398" t="s">
        <v>3309</v>
      </c>
      <c r="O161" s="398"/>
      <c r="P161" s="403">
        <f>SUMIF('Antelope Bailey Split BA'!$B$7:$B$29,B161,'Antelope Bailey Split BA'!$C$7:$C$29)</f>
        <v>0</v>
      </c>
      <c r="Q161" s="403" t="str">
        <f>IF(AND(P161=1,'Plant Total by Account'!$H$1=2),"EKWRA","")</f>
        <v/>
      </c>
      <c r="S161" s="403">
        <f>SUMIF('ISO w_System Splits'!$D$524:$D$615,B161,'ISO w_System Splits'!$P$524:$P$615)</f>
        <v>0</v>
      </c>
      <c r="T161" s="403" t="str">
        <f>IF(AND(S161&lt;&gt;0,'Plant Total by Account'!$H$1=2),"EKWRA TL Change","")</f>
        <v/>
      </c>
      <c r="V161" s="77">
        <v>8004</v>
      </c>
      <c r="W161" s="404">
        <f t="shared" si="14"/>
        <v>0</v>
      </c>
    </row>
    <row r="162" spans="1:23" ht="12.75" customHeight="1" x14ac:dyDescent="0.2">
      <c r="A162" s="386" t="s">
        <v>2476</v>
      </c>
      <c r="B162" s="398" t="s">
        <v>1176</v>
      </c>
      <c r="C162" s="398" t="s">
        <v>3329</v>
      </c>
      <c r="D162" s="399">
        <v>139611.32</v>
      </c>
      <c r="E162" s="399">
        <v>761679.69</v>
      </c>
      <c r="F162" s="399">
        <v>10956043.610000005</v>
      </c>
      <c r="G162" s="524">
        <f t="shared" si="13"/>
        <v>11857334.620000005</v>
      </c>
      <c r="H162" s="406"/>
      <c r="I162" s="407"/>
      <c r="J162" s="407"/>
      <c r="K162" s="406">
        <f t="shared" si="10"/>
        <v>139611.32</v>
      </c>
      <c r="L162" s="406">
        <f t="shared" si="11"/>
        <v>761679.69</v>
      </c>
      <c r="M162" s="406">
        <f t="shared" si="12"/>
        <v>10956043.610000005</v>
      </c>
      <c r="N162" s="398" t="s">
        <v>3309</v>
      </c>
      <c r="O162" s="398"/>
      <c r="P162" s="403">
        <f>SUMIF('Antelope Bailey Split BA'!$B$7:$B$29,B162,'Antelope Bailey Split BA'!$C$7:$C$29)</f>
        <v>0</v>
      </c>
      <c r="Q162" s="403" t="str">
        <f>IF(AND(P162=1,'Plant Total by Account'!$H$1=2),"EKWRA","")</f>
        <v/>
      </c>
      <c r="S162" s="403">
        <f>SUMIF('ISO w_System Splits'!$D$524:$D$615,B162,'ISO w_System Splits'!$P$524:$P$615)</f>
        <v>0</v>
      </c>
      <c r="T162" s="403" t="str">
        <f>IF(AND(S162&lt;&gt;0,'Plant Total by Account'!$H$1=2),"EKWRA TL Change","")</f>
        <v/>
      </c>
      <c r="V162" s="77">
        <v>8005</v>
      </c>
      <c r="W162" s="404">
        <f t="shared" si="14"/>
        <v>0</v>
      </c>
    </row>
    <row r="163" spans="1:23" ht="12.75" customHeight="1" x14ac:dyDescent="0.2">
      <c r="A163" s="386" t="s">
        <v>2478</v>
      </c>
      <c r="B163" s="398" t="s">
        <v>1177</v>
      </c>
      <c r="C163" s="398" t="s">
        <v>3329</v>
      </c>
      <c r="D163" s="399">
        <v>0</v>
      </c>
      <c r="E163" s="399">
        <v>0</v>
      </c>
      <c r="F163" s="399">
        <v>662021.68000000017</v>
      </c>
      <c r="G163" s="524">
        <f t="shared" si="13"/>
        <v>662021.68000000017</v>
      </c>
      <c r="H163" s="406"/>
      <c r="I163" s="407"/>
      <c r="J163" s="407"/>
      <c r="K163" s="406">
        <f t="shared" si="10"/>
        <v>0</v>
      </c>
      <c r="L163" s="406">
        <f t="shared" si="11"/>
        <v>0</v>
      </c>
      <c r="M163" s="406">
        <f t="shared" si="12"/>
        <v>662021.68000000017</v>
      </c>
      <c r="N163" s="398" t="s">
        <v>3309</v>
      </c>
      <c r="O163" s="398"/>
      <c r="P163" s="403">
        <f>SUMIF('Antelope Bailey Split BA'!$B$7:$B$29,B163,'Antelope Bailey Split BA'!$C$7:$C$29)</f>
        <v>0</v>
      </c>
      <c r="Q163" s="403" t="str">
        <f>IF(AND(P163=1,'Plant Total by Account'!$H$1=2),"EKWRA","")</f>
        <v/>
      </c>
      <c r="S163" s="403">
        <f>SUMIF('ISO w_System Splits'!$D$524:$D$615,B163,'ISO w_System Splits'!$P$524:$P$615)</f>
        <v>0</v>
      </c>
      <c r="T163" s="403" t="str">
        <f>IF(AND(S163&lt;&gt;0,'Plant Total by Account'!$H$1=2),"EKWRA TL Change","")</f>
        <v/>
      </c>
      <c r="V163" s="77">
        <v>8009</v>
      </c>
      <c r="W163" s="404">
        <f t="shared" si="14"/>
        <v>0</v>
      </c>
    </row>
    <row r="164" spans="1:23" ht="12.75" customHeight="1" x14ac:dyDescent="0.2">
      <c r="A164" s="386" t="s">
        <v>2479</v>
      </c>
      <c r="B164" s="398" t="s">
        <v>1178</v>
      </c>
      <c r="C164" s="398" t="s">
        <v>3329</v>
      </c>
      <c r="D164" s="399">
        <v>154445.51999999999</v>
      </c>
      <c r="E164" s="399">
        <v>592230.46</v>
      </c>
      <c r="F164" s="399">
        <v>5759301.9100000067</v>
      </c>
      <c r="G164" s="524">
        <f t="shared" si="13"/>
        <v>6505977.8900000062</v>
      </c>
      <c r="H164" s="406"/>
      <c r="I164" s="407"/>
      <c r="J164" s="407"/>
      <c r="K164" s="406">
        <f t="shared" ref="K164:K227" si="15">D164</f>
        <v>154445.51999999999</v>
      </c>
      <c r="L164" s="406">
        <f t="shared" ref="L164:L227" si="16">E164</f>
        <v>592230.46</v>
      </c>
      <c r="M164" s="406">
        <f t="shared" ref="M164:M227" si="17">F164</f>
        <v>5759301.9100000067</v>
      </c>
      <c r="N164" s="398" t="s">
        <v>3309</v>
      </c>
      <c r="O164" s="398"/>
      <c r="P164" s="403">
        <f>SUMIF('Antelope Bailey Split BA'!$B$7:$B$29,B164,'Antelope Bailey Split BA'!$C$7:$C$29)</f>
        <v>0</v>
      </c>
      <c r="Q164" s="403" t="str">
        <f>IF(AND(P164=1,'Plant Total by Account'!$H$1=2),"EKWRA","")</f>
        <v/>
      </c>
      <c r="S164" s="403">
        <f>SUMIF('ISO w_System Splits'!$D$524:$D$615,B164,'ISO w_System Splits'!$P$524:$P$615)</f>
        <v>0</v>
      </c>
      <c r="T164" s="403" t="str">
        <f>IF(AND(S164&lt;&gt;0,'Plant Total by Account'!$H$1=2),"EKWRA TL Change","")</f>
        <v/>
      </c>
      <c r="V164" s="77">
        <v>8010</v>
      </c>
      <c r="W164" s="404">
        <f t="shared" si="14"/>
        <v>0</v>
      </c>
    </row>
    <row r="165" spans="1:23" ht="12.75" customHeight="1" x14ac:dyDescent="0.2">
      <c r="A165" s="386" t="s">
        <v>2480</v>
      </c>
      <c r="B165" s="398" t="s">
        <v>1179</v>
      </c>
      <c r="C165" s="398" t="s">
        <v>3329</v>
      </c>
      <c r="D165" s="399">
        <v>0</v>
      </c>
      <c r="E165" s="399">
        <v>0</v>
      </c>
      <c r="F165" s="399">
        <v>9847.0000000000018</v>
      </c>
      <c r="G165" s="524">
        <f t="shared" si="13"/>
        <v>9847.0000000000018</v>
      </c>
      <c r="H165" s="406"/>
      <c r="I165" s="407"/>
      <c r="J165" s="407"/>
      <c r="K165" s="406">
        <f t="shared" si="15"/>
        <v>0</v>
      </c>
      <c r="L165" s="406">
        <f t="shared" si="16"/>
        <v>0</v>
      </c>
      <c r="M165" s="406">
        <f t="shared" si="17"/>
        <v>9847.0000000000018</v>
      </c>
      <c r="N165" s="398" t="s">
        <v>3309</v>
      </c>
      <c r="O165" s="398"/>
      <c r="P165" s="403">
        <f>SUMIF('Antelope Bailey Split BA'!$B$7:$B$29,B165,'Antelope Bailey Split BA'!$C$7:$C$29)</f>
        <v>0</v>
      </c>
      <c r="Q165" s="403" t="str">
        <f>IF(AND(P165=1,'Plant Total by Account'!$H$1=2),"EKWRA","")</f>
        <v/>
      </c>
      <c r="S165" s="403">
        <f>SUMIF('ISO w_System Splits'!$D$524:$D$615,B165,'ISO w_System Splits'!$P$524:$P$615)</f>
        <v>0</v>
      </c>
      <c r="T165" s="403" t="str">
        <f>IF(AND(S165&lt;&gt;0,'Plant Total by Account'!$H$1=2),"EKWRA TL Change","")</f>
        <v/>
      </c>
      <c r="V165" s="77">
        <v>8011</v>
      </c>
      <c r="W165" s="404">
        <f t="shared" si="14"/>
        <v>0</v>
      </c>
    </row>
    <row r="166" spans="1:23" ht="12.75" customHeight="1" x14ac:dyDescent="0.2">
      <c r="A166" s="386" t="s">
        <v>2482</v>
      </c>
      <c r="B166" s="398" t="s">
        <v>1181</v>
      </c>
      <c r="C166" s="398" t="s">
        <v>3329</v>
      </c>
      <c r="D166" s="399">
        <v>0</v>
      </c>
      <c r="E166" s="399">
        <v>480534.09</v>
      </c>
      <c r="F166" s="399">
        <v>8370889.54</v>
      </c>
      <c r="G166" s="524">
        <f t="shared" si="13"/>
        <v>8851423.6300000008</v>
      </c>
      <c r="H166" s="406"/>
      <c r="I166" s="407"/>
      <c r="J166" s="407"/>
      <c r="K166" s="406">
        <f t="shared" si="15"/>
        <v>0</v>
      </c>
      <c r="L166" s="406">
        <f t="shared" si="16"/>
        <v>480534.09</v>
      </c>
      <c r="M166" s="406">
        <f t="shared" si="17"/>
        <v>8370889.54</v>
      </c>
      <c r="N166" s="398" t="s">
        <v>3309</v>
      </c>
      <c r="O166" s="398"/>
      <c r="P166" s="403">
        <f>SUMIF('Antelope Bailey Split BA'!$B$7:$B$29,B166,'Antelope Bailey Split BA'!$C$7:$C$29)</f>
        <v>0</v>
      </c>
      <c r="Q166" s="403" t="str">
        <f>IF(AND(P166=1,'Plant Total by Account'!$H$1=2),"EKWRA","")</f>
        <v/>
      </c>
      <c r="S166" s="403">
        <f>SUMIF('ISO w_System Splits'!$D$524:$D$615,B166,'ISO w_System Splits'!$P$524:$P$615)</f>
        <v>0</v>
      </c>
      <c r="T166" s="403" t="str">
        <f>IF(AND(S166&lt;&gt;0,'Plant Total by Account'!$H$1=2),"EKWRA TL Change","")</f>
        <v/>
      </c>
      <c r="V166" s="77">
        <v>8013</v>
      </c>
      <c r="W166" s="404">
        <f t="shared" si="14"/>
        <v>0</v>
      </c>
    </row>
    <row r="167" spans="1:23" ht="12.75" customHeight="1" x14ac:dyDescent="0.2">
      <c r="A167" s="386" t="s">
        <v>2483</v>
      </c>
      <c r="B167" s="398" t="s">
        <v>1182</v>
      </c>
      <c r="C167" s="398" t="s">
        <v>3329</v>
      </c>
      <c r="D167" s="399">
        <v>969396.94</v>
      </c>
      <c r="E167" s="399">
        <v>303295.04000000004</v>
      </c>
      <c r="F167" s="399">
        <v>10651621.729999999</v>
      </c>
      <c r="G167" s="524">
        <f t="shared" si="13"/>
        <v>11924313.709999999</v>
      </c>
      <c r="H167" s="406"/>
      <c r="I167" s="407"/>
      <c r="J167" s="407"/>
      <c r="K167" s="406">
        <f t="shared" si="15"/>
        <v>969396.94</v>
      </c>
      <c r="L167" s="406">
        <f t="shared" si="16"/>
        <v>303295.04000000004</v>
      </c>
      <c r="M167" s="406">
        <f t="shared" si="17"/>
        <v>10651621.729999999</v>
      </c>
      <c r="N167" s="398" t="s">
        <v>3309</v>
      </c>
      <c r="O167" s="398"/>
      <c r="P167" s="403">
        <f>SUMIF('Antelope Bailey Split BA'!$B$7:$B$29,B167,'Antelope Bailey Split BA'!$C$7:$C$29)</f>
        <v>0</v>
      </c>
      <c r="Q167" s="403" t="str">
        <f>IF(AND(P167=1,'Plant Total by Account'!$H$1=2),"EKWRA","")</f>
        <v/>
      </c>
      <c r="S167" s="403">
        <f>SUMIF('ISO w_System Splits'!$D$524:$D$615,B167,'ISO w_System Splits'!$P$524:$P$615)</f>
        <v>0</v>
      </c>
      <c r="T167" s="403" t="str">
        <f>IF(AND(S167&lt;&gt;0,'Plant Total by Account'!$H$1=2),"EKWRA TL Change","")</f>
        <v/>
      </c>
      <c r="V167" s="77">
        <v>8014</v>
      </c>
      <c r="W167" s="404">
        <f t="shared" si="14"/>
        <v>0</v>
      </c>
    </row>
    <row r="168" spans="1:23" ht="12.75" customHeight="1" x14ac:dyDescent="0.2">
      <c r="A168" s="386" t="s">
        <v>2484</v>
      </c>
      <c r="B168" s="398" t="s">
        <v>1183</v>
      </c>
      <c r="C168" s="398" t="s">
        <v>3329</v>
      </c>
      <c r="D168" s="399">
        <v>0</v>
      </c>
      <c r="E168" s="399">
        <v>316076.56</v>
      </c>
      <c r="F168" s="399">
        <v>7992875.8299999945</v>
      </c>
      <c r="G168" s="524">
        <f t="shared" si="13"/>
        <v>8308952.3899999941</v>
      </c>
      <c r="H168" s="406"/>
      <c r="I168" s="407"/>
      <c r="J168" s="407"/>
      <c r="K168" s="406">
        <f t="shared" si="15"/>
        <v>0</v>
      </c>
      <c r="L168" s="406">
        <f t="shared" si="16"/>
        <v>316076.56</v>
      </c>
      <c r="M168" s="406">
        <f t="shared" si="17"/>
        <v>7992875.8299999945</v>
      </c>
      <c r="N168" s="398" t="s">
        <v>3309</v>
      </c>
      <c r="O168" s="398"/>
      <c r="P168" s="403">
        <f>SUMIF('Antelope Bailey Split BA'!$B$7:$B$29,B168,'Antelope Bailey Split BA'!$C$7:$C$29)</f>
        <v>0</v>
      </c>
      <c r="Q168" s="403" t="str">
        <f>IF(AND(P168=1,'Plant Total by Account'!$H$1=2),"EKWRA","")</f>
        <v/>
      </c>
      <c r="S168" s="403">
        <f>SUMIF('ISO w_System Splits'!$D$524:$D$615,B168,'ISO w_System Splits'!$P$524:$P$615)</f>
        <v>0</v>
      </c>
      <c r="T168" s="403" t="str">
        <f>IF(AND(S168&lt;&gt;0,'Plant Total by Account'!$H$1=2),"EKWRA TL Change","")</f>
        <v/>
      </c>
      <c r="V168" s="77">
        <v>8016</v>
      </c>
      <c r="W168" s="404">
        <f t="shared" si="14"/>
        <v>0</v>
      </c>
    </row>
    <row r="169" spans="1:23" ht="12.75" customHeight="1" x14ac:dyDescent="0.2">
      <c r="A169" s="386" t="s">
        <v>2485</v>
      </c>
      <c r="B169" s="398" t="s">
        <v>1184</v>
      </c>
      <c r="C169" s="398" t="s">
        <v>3329</v>
      </c>
      <c r="D169" s="399">
        <v>285201.15000000002</v>
      </c>
      <c r="E169" s="399">
        <v>672863.12000000011</v>
      </c>
      <c r="F169" s="399">
        <v>7608903.6900000013</v>
      </c>
      <c r="G169" s="524">
        <f t="shared" si="13"/>
        <v>8566967.9600000009</v>
      </c>
      <c r="H169" s="406"/>
      <c r="I169" s="407"/>
      <c r="J169" s="407"/>
      <c r="K169" s="406">
        <f t="shared" si="15"/>
        <v>285201.15000000002</v>
      </c>
      <c r="L169" s="406">
        <f t="shared" si="16"/>
        <v>672863.12000000011</v>
      </c>
      <c r="M169" s="406">
        <f t="shared" si="17"/>
        <v>7608903.6900000013</v>
      </c>
      <c r="N169" s="398" t="s">
        <v>3309</v>
      </c>
      <c r="O169" s="398"/>
      <c r="P169" s="403">
        <f>SUMIF('Antelope Bailey Split BA'!$B$7:$B$29,B169,'Antelope Bailey Split BA'!$C$7:$C$29)</f>
        <v>0</v>
      </c>
      <c r="Q169" s="403" t="str">
        <f>IF(AND(P169=1,'Plant Total by Account'!$H$1=2),"EKWRA","")</f>
        <v/>
      </c>
      <c r="S169" s="403">
        <f>SUMIF('ISO w_System Splits'!$D$524:$D$615,B169,'ISO w_System Splits'!$P$524:$P$615)</f>
        <v>0</v>
      </c>
      <c r="T169" s="403" t="str">
        <f>IF(AND(S169&lt;&gt;0,'Plant Total by Account'!$H$1=2),"EKWRA TL Change","")</f>
        <v/>
      </c>
      <c r="V169" s="77">
        <v>8017</v>
      </c>
      <c r="W169" s="404">
        <f t="shared" si="14"/>
        <v>0</v>
      </c>
    </row>
    <row r="170" spans="1:23" ht="12.75" customHeight="1" x14ac:dyDescent="0.2">
      <c r="A170" s="386" t="s">
        <v>2486</v>
      </c>
      <c r="B170" s="398" t="s">
        <v>799</v>
      </c>
      <c r="C170" s="398" t="s">
        <v>3333</v>
      </c>
      <c r="D170" s="399">
        <v>83537.66</v>
      </c>
      <c r="E170" s="399">
        <v>1160979.2400000002</v>
      </c>
      <c r="F170" s="399">
        <v>16117350.899999999</v>
      </c>
      <c r="G170" s="524">
        <f t="shared" si="13"/>
        <v>17361867.799999997</v>
      </c>
      <c r="H170" s="406"/>
      <c r="I170" s="407"/>
      <c r="J170" s="407"/>
      <c r="K170" s="406">
        <f t="shared" si="15"/>
        <v>83537.66</v>
      </c>
      <c r="L170" s="406">
        <f t="shared" si="16"/>
        <v>1160979.2400000002</v>
      </c>
      <c r="M170" s="406">
        <f t="shared" si="17"/>
        <v>16117350.899999999</v>
      </c>
      <c r="N170" s="398" t="s">
        <v>3309</v>
      </c>
      <c r="O170" s="398"/>
      <c r="P170" s="403">
        <f>SUMIF('Antelope Bailey Split BA'!$B$7:$B$29,B170,'Antelope Bailey Split BA'!$C$7:$C$29)</f>
        <v>0</v>
      </c>
      <c r="Q170" s="403" t="str">
        <f>IF(AND(P170=1,'Plant Total by Account'!$H$1=2),"EKWRA","")</f>
        <v/>
      </c>
      <c r="S170" s="403">
        <f>SUMIF('ISO w_System Splits'!$D$524:$D$615,B170,'ISO w_System Splits'!$P$524:$P$615)</f>
        <v>0</v>
      </c>
      <c r="T170" s="403" t="str">
        <f>IF(AND(S170&lt;&gt;0,'Plant Total by Account'!$H$1=2),"EKWRA TL Change","")</f>
        <v/>
      </c>
      <c r="V170" s="77">
        <v>8018</v>
      </c>
      <c r="W170" s="404">
        <f t="shared" si="14"/>
        <v>0</v>
      </c>
    </row>
    <row r="171" spans="1:23" ht="12.75" customHeight="1" x14ac:dyDescent="0.2">
      <c r="A171" s="386" t="s">
        <v>2487</v>
      </c>
      <c r="B171" s="398" t="s">
        <v>1185</v>
      </c>
      <c r="C171" s="398" t="s">
        <v>3329</v>
      </c>
      <c r="D171" s="399">
        <v>33940.49</v>
      </c>
      <c r="E171" s="399">
        <v>363072.13</v>
      </c>
      <c r="F171" s="399">
        <v>7635980.0199999968</v>
      </c>
      <c r="G171" s="524">
        <f t="shared" si="13"/>
        <v>8032992.6399999969</v>
      </c>
      <c r="H171" s="406"/>
      <c r="I171" s="407"/>
      <c r="J171" s="407"/>
      <c r="K171" s="406">
        <f t="shared" si="15"/>
        <v>33940.49</v>
      </c>
      <c r="L171" s="406">
        <f t="shared" si="16"/>
        <v>363072.13</v>
      </c>
      <c r="M171" s="406">
        <f t="shared" si="17"/>
        <v>7635980.0199999968</v>
      </c>
      <c r="N171" s="398" t="s">
        <v>3309</v>
      </c>
      <c r="O171" s="398"/>
      <c r="P171" s="403">
        <f>SUMIF('Antelope Bailey Split BA'!$B$7:$B$29,B171,'Antelope Bailey Split BA'!$C$7:$C$29)</f>
        <v>0</v>
      </c>
      <c r="Q171" s="403" t="str">
        <f>IF(AND(P171=1,'Plant Total by Account'!$H$1=2),"EKWRA","")</f>
        <v/>
      </c>
      <c r="S171" s="403">
        <f>SUMIF('ISO w_System Splits'!$D$524:$D$615,B171,'ISO w_System Splits'!$P$524:$P$615)</f>
        <v>0</v>
      </c>
      <c r="T171" s="403" t="str">
        <f>IF(AND(S171&lt;&gt;0,'Plant Total by Account'!$H$1=2),"EKWRA TL Change","")</f>
        <v/>
      </c>
      <c r="V171" s="77">
        <v>8019</v>
      </c>
      <c r="W171" s="404">
        <f t="shared" si="14"/>
        <v>0</v>
      </c>
    </row>
    <row r="172" spans="1:23" ht="12.75" customHeight="1" x14ac:dyDescent="0.2">
      <c r="A172" s="386" t="s">
        <v>2488</v>
      </c>
      <c r="B172" s="398" t="s">
        <v>133</v>
      </c>
      <c r="C172" s="398" t="s">
        <v>3329</v>
      </c>
      <c r="D172" s="399">
        <v>29280.3</v>
      </c>
      <c r="E172" s="399">
        <v>705807.74999999988</v>
      </c>
      <c r="F172" s="399">
        <v>12975305.800000004</v>
      </c>
      <c r="G172" s="524">
        <f t="shared" si="13"/>
        <v>13710393.850000005</v>
      </c>
      <c r="H172" s="406"/>
      <c r="I172" s="407"/>
      <c r="J172" s="407"/>
      <c r="K172" s="406">
        <f t="shared" si="15"/>
        <v>29280.3</v>
      </c>
      <c r="L172" s="406">
        <f t="shared" si="16"/>
        <v>705807.74999999988</v>
      </c>
      <c r="M172" s="406">
        <f t="shared" si="17"/>
        <v>12975305.800000004</v>
      </c>
      <c r="N172" s="398" t="s">
        <v>3309</v>
      </c>
      <c r="O172" s="398"/>
      <c r="P172" s="403">
        <f>SUMIF('Antelope Bailey Split BA'!$B$7:$B$29,B172,'Antelope Bailey Split BA'!$C$7:$C$29)</f>
        <v>0</v>
      </c>
      <c r="Q172" s="403" t="str">
        <f>IF(AND(P172=1,'Plant Total by Account'!$H$1=2),"EKWRA","")</f>
        <v/>
      </c>
      <c r="S172" s="403">
        <f>SUMIF('ISO w_System Splits'!$D$524:$D$615,B172,'ISO w_System Splits'!$P$524:$P$615)</f>
        <v>0</v>
      </c>
      <c r="T172" s="403" t="str">
        <f>IF(AND(S172&lt;&gt;0,'Plant Total by Account'!$H$1=2),"EKWRA TL Change","")</f>
        <v/>
      </c>
      <c r="V172" s="77">
        <v>8020</v>
      </c>
      <c r="W172" s="404">
        <f t="shared" si="14"/>
        <v>0</v>
      </c>
    </row>
    <row r="173" spans="1:23" ht="12.75" customHeight="1" x14ac:dyDescent="0.2">
      <c r="A173" s="386" t="s">
        <v>2489</v>
      </c>
      <c r="B173" s="398" t="s">
        <v>1186</v>
      </c>
      <c r="C173" s="398" t="s">
        <v>3329</v>
      </c>
      <c r="D173" s="399">
        <v>17578.510000000002</v>
      </c>
      <c r="E173" s="399">
        <v>43308.13</v>
      </c>
      <c r="F173" s="399">
        <v>2103227.7999999989</v>
      </c>
      <c r="G173" s="524">
        <f t="shared" si="13"/>
        <v>2164114.439999999</v>
      </c>
      <c r="H173" s="406"/>
      <c r="I173" s="407"/>
      <c r="J173" s="407"/>
      <c r="K173" s="406">
        <f t="shared" si="15"/>
        <v>17578.510000000002</v>
      </c>
      <c r="L173" s="406">
        <f t="shared" si="16"/>
        <v>43308.13</v>
      </c>
      <c r="M173" s="406">
        <f t="shared" si="17"/>
        <v>2103227.7999999989</v>
      </c>
      <c r="N173" s="398" t="s">
        <v>3309</v>
      </c>
      <c r="O173" s="398"/>
      <c r="P173" s="403">
        <f>SUMIF('Antelope Bailey Split BA'!$B$7:$B$29,B173,'Antelope Bailey Split BA'!$C$7:$C$29)</f>
        <v>0</v>
      </c>
      <c r="Q173" s="403" t="str">
        <f>IF(AND(P173=1,'Plant Total by Account'!$H$1=2),"EKWRA","")</f>
        <v/>
      </c>
      <c r="S173" s="403">
        <f>SUMIF('ISO w_System Splits'!$D$524:$D$615,B173,'ISO w_System Splits'!$P$524:$P$615)</f>
        <v>0</v>
      </c>
      <c r="T173" s="403" t="str">
        <f>IF(AND(S173&lt;&gt;0,'Plant Total by Account'!$H$1=2),"EKWRA TL Change","")</f>
        <v/>
      </c>
      <c r="V173" s="77">
        <v>8021</v>
      </c>
      <c r="W173" s="404">
        <f t="shared" si="14"/>
        <v>0</v>
      </c>
    </row>
    <row r="174" spans="1:23" ht="12.75" customHeight="1" x14ac:dyDescent="0.2">
      <c r="A174" s="386" t="s">
        <v>2490</v>
      </c>
      <c r="B174" s="398" t="s">
        <v>134</v>
      </c>
      <c r="C174" s="398" t="s">
        <v>3334</v>
      </c>
      <c r="D174" s="399">
        <v>19474.34</v>
      </c>
      <c r="E174" s="399">
        <v>107680.44</v>
      </c>
      <c r="F174" s="399">
        <v>2214433.9300000002</v>
      </c>
      <c r="G174" s="524">
        <f t="shared" si="13"/>
        <v>2341588.71</v>
      </c>
      <c r="H174" s="406"/>
      <c r="I174" s="407"/>
      <c r="J174" s="407"/>
      <c r="K174" s="406">
        <f t="shared" si="15"/>
        <v>19474.34</v>
      </c>
      <c r="L174" s="406">
        <f t="shared" si="16"/>
        <v>107680.44</v>
      </c>
      <c r="M174" s="406">
        <f t="shared" si="17"/>
        <v>2214433.9300000002</v>
      </c>
      <c r="N174" s="398" t="s">
        <v>3309</v>
      </c>
      <c r="O174" s="398"/>
      <c r="P174" s="403">
        <f>SUMIF('Antelope Bailey Split BA'!$B$7:$B$29,B174,'Antelope Bailey Split BA'!$C$7:$C$29)</f>
        <v>0</v>
      </c>
      <c r="Q174" s="403" t="str">
        <f>IF(AND(P174=1,'Plant Total by Account'!$H$1=2),"EKWRA","")</f>
        <v/>
      </c>
      <c r="S174" s="403">
        <f>SUMIF('ISO w_System Splits'!$D$524:$D$615,B174,'ISO w_System Splits'!$P$524:$P$615)</f>
        <v>0</v>
      </c>
      <c r="T174" s="403" t="str">
        <f>IF(AND(S174&lt;&gt;0,'Plant Total by Account'!$H$1=2),"EKWRA TL Change","")</f>
        <v/>
      </c>
      <c r="V174" s="77">
        <v>8022</v>
      </c>
      <c r="W174" s="404">
        <f t="shared" si="14"/>
        <v>0</v>
      </c>
    </row>
    <row r="175" spans="1:23" ht="12.75" customHeight="1" x14ac:dyDescent="0.2">
      <c r="A175" s="386" t="s">
        <v>2491</v>
      </c>
      <c r="B175" s="398" t="s">
        <v>1187</v>
      </c>
      <c r="C175" s="398" t="s">
        <v>3329</v>
      </c>
      <c r="D175" s="399">
        <v>0</v>
      </c>
      <c r="E175" s="399">
        <v>12013.64</v>
      </c>
      <c r="F175" s="399">
        <v>762504.04</v>
      </c>
      <c r="G175" s="524">
        <f t="shared" si="13"/>
        <v>774517.68</v>
      </c>
      <c r="H175" s="406"/>
      <c r="I175" s="407"/>
      <c r="J175" s="407"/>
      <c r="K175" s="406">
        <f t="shared" si="15"/>
        <v>0</v>
      </c>
      <c r="L175" s="406">
        <f t="shared" si="16"/>
        <v>12013.64</v>
      </c>
      <c r="M175" s="406">
        <f t="shared" si="17"/>
        <v>762504.04</v>
      </c>
      <c r="N175" s="398" t="s">
        <v>3309</v>
      </c>
      <c r="O175" s="398"/>
      <c r="P175" s="403">
        <f>SUMIF('Antelope Bailey Split BA'!$B$7:$B$29,B175,'Antelope Bailey Split BA'!$C$7:$C$29)</f>
        <v>0</v>
      </c>
      <c r="Q175" s="403" t="str">
        <f>IF(AND(P175=1,'Plant Total by Account'!$H$1=2),"EKWRA","")</f>
        <v/>
      </c>
      <c r="S175" s="403">
        <f>SUMIF('ISO w_System Splits'!$D$524:$D$615,B175,'ISO w_System Splits'!$P$524:$P$615)</f>
        <v>0</v>
      </c>
      <c r="T175" s="403" t="str">
        <f>IF(AND(S175&lt;&gt;0,'Plant Total by Account'!$H$1=2),"EKWRA TL Change","")</f>
        <v/>
      </c>
      <c r="V175" s="77">
        <v>8023</v>
      </c>
      <c r="W175" s="404">
        <f t="shared" si="14"/>
        <v>0</v>
      </c>
    </row>
    <row r="176" spans="1:23" ht="12.75" customHeight="1" x14ac:dyDescent="0.2">
      <c r="A176" s="386" t="s">
        <v>2492</v>
      </c>
      <c r="B176" s="398" t="s">
        <v>1188</v>
      </c>
      <c r="C176" s="398" t="s">
        <v>3329</v>
      </c>
      <c r="D176" s="399">
        <v>45513.590000000004</v>
      </c>
      <c r="E176" s="399">
        <v>703687.79</v>
      </c>
      <c r="F176" s="399">
        <v>17693481.010000009</v>
      </c>
      <c r="G176" s="524">
        <f t="shared" si="13"/>
        <v>18442682.390000008</v>
      </c>
      <c r="H176" s="406"/>
      <c r="I176" s="407"/>
      <c r="J176" s="407"/>
      <c r="K176" s="406">
        <f t="shared" si="15"/>
        <v>45513.590000000004</v>
      </c>
      <c r="L176" s="406">
        <f t="shared" si="16"/>
        <v>703687.79</v>
      </c>
      <c r="M176" s="406">
        <f t="shared" si="17"/>
        <v>17693481.010000009</v>
      </c>
      <c r="N176" s="398" t="s">
        <v>3309</v>
      </c>
      <c r="O176" s="398"/>
      <c r="P176" s="403">
        <f>SUMIF('Antelope Bailey Split BA'!$B$7:$B$29,B176,'Antelope Bailey Split BA'!$C$7:$C$29)</f>
        <v>0</v>
      </c>
      <c r="Q176" s="403" t="str">
        <f>IF(AND(P176=1,'Plant Total by Account'!$H$1=2),"EKWRA","")</f>
        <v/>
      </c>
      <c r="S176" s="403">
        <f>SUMIF('ISO w_System Splits'!$D$524:$D$615,B176,'ISO w_System Splits'!$P$524:$P$615)</f>
        <v>0</v>
      </c>
      <c r="T176" s="403" t="str">
        <f>IF(AND(S176&lt;&gt;0,'Plant Total by Account'!$H$1=2),"EKWRA TL Change","")</f>
        <v/>
      </c>
      <c r="V176" s="77">
        <v>8024</v>
      </c>
      <c r="W176" s="404">
        <f t="shared" si="14"/>
        <v>0</v>
      </c>
    </row>
    <row r="177" spans="1:23" ht="12.75" customHeight="1" x14ac:dyDescent="0.2">
      <c r="A177" s="386" t="s">
        <v>2493</v>
      </c>
      <c r="B177" s="398" t="s">
        <v>1189</v>
      </c>
      <c r="C177" s="398" t="s">
        <v>3329</v>
      </c>
      <c r="D177" s="399">
        <v>0</v>
      </c>
      <c r="E177" s="399">
        <v>39565.910000000003</v>
      </c>
      <c r="F177" s="399">
        <v>1529014.3500000006</v>
      </c>
      <c r="G177" s="524">
        <f t="shared" si="13"/>
        <v>1568580.2600000005</v>
      </c>
      <c r="H177" s="406"/>
      <c r="I177" s="407"/>
      <c r="J177" s="406"/>
      <c r="K177" s="406">
        <f t="shared" si="15"/>
        <v>0</v>
      </c>
      <c r="L177" s="406">
        <f t="shared" si="16"/>
        <v>39565.910000000003</v>
      </c>
      <c r="M177" s="406">
        <f t="shared" si="17"/>
        <v>1529014.3500000006</v>
      </c>
      <c r="N177" s="398" t="s">
        <v>3309</v>
      </c>
      <c r="O177" s="398"/>
      <c r="P177" s="403">
        <f>SUMIF('Antelope Bailey Split BA'!$B$7:$B$29,B177,'Antelope Bailey Split BA'!$C$7:$C$29)</f>
        <v>0</v>
      </c>
      <c r="Q177" s="403" t="str">
        <f>IF(AND(P177=1,'Plant Total by Account'!$H$1=2),"EKWRA","")</f>
        <v/>
      </c>
      <c r="S177" s="403">
        <f>SUMIF('ISO w_System Splits'!$D$524:$D$615,B177,'ISO w_System Splits'!$P$524:$P$615)</f>
        <v>0</v>
      </c>
      <c r="T177" s="403" t="str">
        <f>IF(AND(S177&lt;&gt;0,'Plant Total by Account'!$H$1=2),"EKWRA TL Change","")</f>
        <v/>
      </c>
      <c r="V177" s="77">
        <v>8025</v>
      </c>
      <c r="W177" s="404">
        <f t="shared" si="14"/>
        <v>0</v>
      </c>
    </row>
    <row r="178" spans="1:23" ht="12.75" customHeight="1" x14ac:dyDescent="0.2">
      <c r="A178" s="386" t="s">
        <v>2494</v>
      </c>
      <c r="B178" s="398" t="s">
        <v>1190</v>
      </c>
      <c r="C178" s="398" t="s">
        <v>3329</v>
      </c>
      <c r="D178" s="399">
        <v>20209.570000000003</v>
      </c>
      <c r="E178" s="399">
        <v>1508583.5200000003</v>
      </c>
      <c r="F178" s="399">
        <v>15966451.520000003</v>
      </c>
      <c r="G178" s="524">
        <f t="shared" si="13"/>
        <v>17495244.610000003</v>
      </c>
      <c r="H178" s="406"/>
      <c r="I178" s="407"/>
      <c r="J178" s="407"/>
      <c r="K178" s="406">
        <f t="shared" si="15"/>
        <v>20209.570000000003</v>
      </c>
      <c r="L178" s="406">
        <f t="shared" si="16"/>
        <v>1508583.5200000003</v>
      </c>
      <c r="M178" s="406">
        <f t="shared" si="17"/>
        <v>15966451.520000003</v>
      </c>
      <c r="N178" s="398" t="s">
        <v>3309</v>
      </c>
      <c r="O178" s="398"/>
      <c r="P178" s="403">
        <f>SUMIF('Antelope Bailey Split BA'!$B$7:$B$29,B178,'Antelope Bailey Split BA'!$C$7:$C$29)</f>
        <v>0</v>
      </c>
      <c r="Q178" s="403" t="str">
        <f>IF(AND(P178=1,'Plant Total by Account'!$H$1=2),"EKWRA","")</f>
        <v/>
      </c>
      <c r="S178" s="403">
        <f>SUMIF('ISO w_System Splits'!$D$524:$D$615,B178,'ISO w_System Splits'!$P$524:$P$615)</f>
        <v>0</v>
      </c>
      <c r="T178" s="403" t="str">
        <f>IF(AND(S178&lt;&gt;0,'Plant Total by Account'!$H$1=2),"EKWRA TL Change","")</f>
        <v/>
      </c>
      <c r="V178" s="77">
        <v>8026</v>
      </c>
      <c r="W178" s="404">
        <f t="shared" si="14"/>
        <v>0</v>
      </c>
    </row>
    <row r="179" spans="1:23" ht="12.75" customHeight="1" x14ac:dyDescent="0.2">
      <c r="A179" s="386" t="s">
        <v>2495</v>
      </c>
      <c r="B179" s="398" t="s">
        <v>1191</v>
      </c>
      <c r="C179" s="398" t="s">
        <v>3329</v>
      </c>
      <c r="D179" s="399">
        <v>22426</v>
      </c>
      <c r="E179" s="399">
        <v>1089830.3600000003</v>
      </c>
      <c r="F179" s="399">
        <v>11178957.940000009</v>
      </c>
      <c r="G179" s="524">
        <f t="shared" si="13"/>
        <v>12291214.300000008</v>
      </c>
      <c r="H179" s="406"/>
      <c r="I179" s="407"/>
      <c r="J179" s="407"/>
      <c r="K179" s="406">
        <f t="shared" si="15"/>
        <v>22426</v>
      </c>
      <c r="L179" s="406">
        <f t="shared" si="16"/>
        <v>1089830.3600000003</v>
      </c>
      <c r="M179" s="406">
        <f t="shared" si="17"/>
        <v>11178957.940000009</v>
      </c>
      <c r="N179" s="398" t="s">
        <v>3309</v>
      </c>
      <c r="O179" s="398"/>
      <c r="P179" s="403">
        <f>SUMIF('Antelope Bailey Split BA'!$B$7:$B$29,B179,'Antelope Bailey Split BA'!$C$7:$C$29)</f>
        <v>0</v>
      </c>
      <c r="Q179" s="403" t="str">
        <f>IF(AND(P179=1,'Plant Total by Account'!$H$1=2),"EKWRA","")</f>
        <v/>
      </c>
      <c r="S179" s="403">
        <f>SUMIF('ISO w_System Splits'!$D$524:$D$615,B179,'ISO w_System Splits'!$P$524:$P$615)</f>
        <v>0</v>
      </c>
      <c r="T179" s="403" t="str">
        <f>IF(AND(S179&lt;&gt;0,'Plant Total by Account'!$H$1=2),"EKWRA TL Change","")</f>
        <v/>
      </c>
      <c r="V179" s="77">
        <v>8027</v>
      </c>
      <c r="W179" s="404">
        <f t="shared" si="14"/>
        <v>0</v>
      </c>
    </row>
    <row r="180" spans="1:23" ht="12.75" customHeight="1" x14ac:dyDescent="0.2">
      <c r="A180" s="386" t="s">
        <v>2496</v>
      </c>
      <c r="B180" s="398" t="s">
        <v>1192</v>
      </c>
      <c r="C180" s="398" t="s">
        <v>3329</v>
      </c>
      <c r="D180" s="399">
        <v>0</v>
      </c>
      <c r="E180" s="399">
        <v>30785.07</v>
      </c>
      <c r="F180" s="399">
        <v>2488022.2600000007</v>
      </c>
      <c r="G180" s="524">
        <f t="shared" si="13"/>
        <v>2518807.3300000005</v>
      </c>
      <c r="H180" s="406"/>
      <c r="I180" s="407"/>
      <c r="J180" s="407"/>
      <c r="K180" s="406">
        <f t="shared" si="15"/>
        <v>0</v>
      </c>
      <c r="L180" s="406">
        <f t="shared" si="16"/>
        <v>30785.07</v>
      </c>
      <c r="M180" s="406">
        <f t="shared" si="17"/>
        <v>2488022.2600000007</v>
      </c>
      <c r="N180" s="398" t="s">
        <v>3309</v>
      </c>
      <c r="O180" s="398"/>
      <c r="P180" s="403">
        <f>SUMIF('Antelope Bailey Split BA'!$B$7:$B$29,B180,'Antelope Bailey Split BA'!$C$7:$C$29)</f>
        <v>0</v>
      </c>
      <c r="Q180" s="403" t="str">
        <f>IF(AND(P180=1,'Plant Total by Account'!$H$1=2),"EKWRA","")</f>
        <v/>
      </c>
      <c r="S180" s="403">
        <f>SUMIF('ISO w_System Splits'!$D$524:$D$615,B180,'ISO w_System Splits'!$P$524:$P$615)</f>
        <v>0</v>
      </c>
      <c r="T180" s="403" t="str">
        <f>IF(AND(S180&lt;&gt;0,'Plant Total by Account'!$H$1=2),"EKWRA TL Change","")</f>
        <v/>
      </c>
      <c r="V180" s="77">
        <v>8028</v>
      </c>
      <c r="W180" s="404">
        <f t="shared" si="14"/>
        <v>0</v>
      </c>
    </row>
    <row r="181" spans="1:23" ht="12.75" customHeight="1" x14ac:dyDescent="0.2">
      <c r="A181" s="386" t="s">
        <v>2497</v>
      </c>
      <c r="B181" s="398" t="s">
        <v>1193</v>
      </c>
      <c r="C181" s="398" t="s">
        <v>3334</v>
      </c>
      <c r="D181" s="399">
        <v>7643.91</v>
      </c>
      <c r="E181" s="399">
        <v>553863.37</v>
      </c>
      <c r="F181" s="399">
        <v>4187175.6499999994</v>
      </c>
      <c r="G181" s="524">
        <f t="shared" si="13"/>
        <v>4748682.93</v>
      </c>
      <c r="H181" s="406"/>
      <c r="I181" s="407"/>
      <c r="J181" s="407"/>
      <c r="K181" s="406">
        <f t="shared" si="15"/>
        <v>7643.91</v>
      </c>
      <c r="L181" s="406">
        <f t="shared" si="16"/>
        <v>553863.37</v>
      </c>
      <c r="M181" s="406">
        <f t="shared" si="17"/>
        <v>4187175.6499999994</v>
      </c>
      <c r="N181" s="398" t="s">
        <v>3309</v>
      </c>
      <c r="O181" s="398"/>
      <c r="P181" s="403">
        <f>SUMIF('Antelope Bailey Split BA'!$B$7:$B$29,B181,'Antelope Bailey Split BA'!$C$7:$C$29)</f>
        <v>0</v>
      </c>
      <c r="Q181" s="403" t="str">
        <f>IF(AND(P181=1,'Plant Total by Account'!$H$1=2),"EKWRA","")</f>
        <v/>
      </c>
      <c r="S181" s="403">
        <f>SUMIF('ISO w_System Splits'!$D$524:$D$615,B181,'ISO w_System Splits'!$P$524:$P$615)</f>
        <v>0</v>
      </c>
      <c r="T181" s="403" t="str">
        <f>IF(AND(S181&lt;&gt;0,'Plant Total by Account'!$H$1=2),"EKWRA TL Change","")</f>
        <v/>
      </c>
      <c r="V181" s="77">
        <v>8029</v>
      </c>
      <c r="W181" s="404">
        <f t="shared" si="14"/>
        <v>0</v>
      </c>
    </row>
    <row r="182" spans="1:23" ht="12.75" customHeight="1" x14ac:dyDescent="0.2">
      <c r="A182" s="386" t="s">
        <v>2498</v>
      </c>
      <c r="B182" s="398" t="s">
        <v>1194</v>
      </c>
      <c r="C182" s="398" t="s">
        <v>3329</v>
      </c>
      <c r="D182" s="399">
        <v>0</v>
      </c>
      <c r="E182" s="399">
        <v>15922.429999999998</v>
      </c>
      <c r="F182" s="399">
        <v>3792503.5299999993</v>
      </c>
      <c r="G182" s="524">
        <f t="shared" si="13"/>
        <v>3808425.9599999995</v>
      </c>
      <c r="H182" s="406"/>
      <c r="I182" s="407"/>
      <c r="J182" s="407"/>
      <c r="K182" s="406">
        <f t="shared" si="15"/>
        <v>0</v>
      </c>
      <c r="L182" s="406">
        <f t="shared" si="16"/>
        <v>15922.429999999998</v>
      </c>
      <c r="M182" s="406">
        <f t="shared" si="17"/>
        <v>3792503.5299999993</v>
      </c>
      <c r="N182" s="398" t="s">
        <v>3309</v>
      </c>
      <c r="O182" s="398"/>
      <c r="P182" s="403">
        <f>SUMIF('Antelope Bailey Split BA'!$B$7:$B$29,B182,'Antelope Bailey Split BA'!$C$7:$C$29)</f>
        <v>0</v>
      </c>
      <c r="Q182" s="403" t="str">
        <f>IF(AND(P182=1,'Plant Total by Account'!$H$1=2),"EKWRA","")</f>
        <v/>
      </c>
      <c r="S182" s="403">
        <f>SUMIF('ISO w_System Splits'!$D$524:$D$615,B182,'ISO w_System Splits'!$P$524:$P$615)</f>
        <v>0</v>
      </c>
      <c r="T182" s="403" t="str">
        <f>IF(AND(S182&lt;&gt;0,'Plant Total by Account'!$H$1=2),"EKWRA TL Change","")</f>
        <v/>
      </c>
      <c r="V182" s="77">
        <v>8030</v>
      </c>
      <c r="W182" s="404">
        <f t="shared" si="14"/>
        <v>0</v>
      </c>
    </row>
    <row r="183" spans="1:23" ht="12.75" customHeight="1" x14ac:dyDescent="0.2">
      <c r="A183" s="386" t="s">
        <v>2499</v>
      </c>
      <c r="B183" s="398" t="s">
        <v>1195</v>
      </c>
      <c r="C183" s="398" t="s">
        <v>3329</v>
      </c>
      <c r="D183" s="399">
        <v>115.83</v>
      </c>
      <c r="E183" s="399">
        <v>285837.48000000004</v>
      </c>
      <c r="F183" s="399">
        <v>5122213.2200000007</v>
      </c>
      <c r="G183" s="524">
        <f t="shared" si="13"/>
        <v>5408166.5300000012</v>
      </c>
      <c r="H183" s="406"/>
      <c r="I183" s="407"/>
      <c r="J183" s="407"/>
      <c r="K183" s="406">
        <f t="shared" si="15"/>
        <v>115.83</v>
      </c>
      <c r="L183" s="406">
        <f t="shared" si="16"/>
        <v>285837.48000000004</v>
      </c>
      <c r="M183" s="406">
        <f t="shared" si="17"/>
        <v>5122213.2200000007</v>
      </c>
      <c r="N183" s="398" t="s">
        <v>3309</v>
      </c>
      <c r="O183" s="398"/>
      <c r="P183" s="403">
        <f>SUMIF('Antelope Bailey Split BA'!$B$7:$B$29,B183,'Antelope Bailey Split BA'!$C$7:$C$29)</f>
        <v>0</v>
      </c>
      <c r="Q183" s="403" t="str">
        <f>IF(AND(P183=1,'Plant Total by Account'!$H$1=2),"EKWRA","")</f>
        <v/>
      </c>
      <c r="S183" s="403">
        <f>SUMIF('ISO w_System Splits'!$D$524:$D$615,B183,'ISO w_System Splits'!$P$524:$P$615)</f>
        <v>0</v>
      </c>
      <c r="T183" s="403" t="str">
        <f>IF(AND(S183&lt;&gt;0,'Plant Total by Account'!$H$1=2),"EKWRA TL Change","")</f>
        <v/>
      </c>
      <c r="V183" s="77">
        <v>8031</v>
      </c>
      <c r="W183" s="404">
        <f t="shared" si="14"/>
        <v>0</v>
      </c>
    </row>
    <row r="184" spans="1:23" ht="12.75" customHeight="1" x14ac:dyDescent="0.2">
      <c r="A184" s="386" t="s">
        <v>2500</v>
      </c>
      <c r="B184" s="398" t="s">
        <v>1196</v>
      </c>
      <c r="C184" s="398" t="s">
        <v>3329</v>
      </c>
      <c r="D184" s="399">
        <v>0</v>
      </c>
      <c r="E184" s="399">
        <v>1563.5700000000002</v>
      </c>
      <c r="F184" s="399">
        <v>279328.98</v>
      </c>
      <c r="G184" s="524">
        <f t="shared" si="13"/>
        <v>280892.55</v>
      </c>
      <c r="H184" s="406"/>
      <c r="I184" s="407"/>
      <c r="J184" s="407"/>
      <c r="K184" s="406">
        <f t="shared" si="15"/>
        <v>0</v>
      </c>
      <c r="L184" s="406">
        <f t="shared" si="16"/>
        <v>1563.5700000000002</v>
      </c>
      <c r="M184" s="406">
        <f t="shared" si="17"/>
        <v>279328.98</v>
      </c>
      <c r="N184" s="398" t="s">
        <v>3309</v>
      </c>
      <c r="O184" s="398"/>
      <c r="P184" s="403">
        <f>SUMIF('Antelope Bailey Split BA'!$B$7:$B$29,B184,'Antelope Bailey Split BA'!$C$7:$C$29)</f>
        <v>0</v>
      </c>
      <c r="Q184" s="403" t="str">
        <f>IF(AND(P184=1,'Plant Total by Account'!$H$1=2),"EKWRA","")</f>
        <v/>
      </c>
      <c r="S184" s="403">
        <f>SUMIF('ISO w_System Splits'!$D$524:$D$615,B184,'ISO w_System Splits'!$P$524:$P$615)</f>
        <v>0</v>
      </c>
      <c r="T184" s="403" t="str">
        <f>IF(AND(S184&lt;&gt;0,'Plant Total by Account'!$H$1=2),"EKWRA TL Change","")</f>
        <v/>
      </c>
      <c r="V184" s="77">
        <v>8032</v>
      </c>
      <c r="W184" s="404">
        <f t="shared" si="14"/>
        <v>0</v>
      </c>
    </row>
    <row r="185" spans="1:23" ht="12.75" customHeight="1" x14ac:dyDescent="0.2">
      <c r="A185" s="386" t="s">
        <v>2501</v>
      </c>
      <c r="B185" s="398" t="s">
        <v>1197</v>
      </c>
      <c r="C185" s="398" t="s">
        <v>3329</v>
      </c>
      <c r="D185" s="399">
        <v>0</v>
      </c>
      <c r="E185" s="399">
        <v>43669.200000000004</v>
      </c>
      <c r="F185" s="399">
        <v>2922080.34</v>
      </c>
      <c r="G185" s="524">
        <f t="shared" si="13"/>
        <v>2965749.54</v>
      </c>
      <c r="H185" s="406"/>
      <c r="I185" s="407"/>
      <c r="J185" s="407"/>
      <c r="K185" s="406">
        <f t="shared" si="15"/>
        <v>0</v>
      </c>
      <c r="L185" s="406">
        <f t="shared" si="16"/>
        <v>43669.200000000004</v>
      </c>
      <c r="M185" s="406">
        <f t="shared" si="17"/>
        <v>2922080.34</v>
      </c>
      <c r="N185" s="398" t="s">
        <v>3309</v>
      </c>
      <c r="O185" s="398"/>
      <c r="P185" s="403">
        <f>SUMIF('Antelope Bailey Split BA'!$B$7:$B$29,B185,'Antelope Bailey Split BA'!$C$7:$C$29)</f>
        <v>0</v>
      </c>
      <c r="Q185" s="403" t="str">
        <f>IF(AND(P185=1,'Plant Total by Account'!$H$1=2),"EKWRA","")</f>
        <v/>
      </c>
      <c r="S185" s="403">
        <f>SUMIF('ISO w_System Splits'!$D$524:$D$615,B185,'ISO w_System Splits'!$P$524:$P$615)</f>
        <v>0</v>
      </c>
      <c r="T185" s="403" t="str">
        <f>IF(AND(S185&lt;&gt;0,'Plant Total by Account'!$H$1=2),"EKWRA TL Change","")</f>
        <v/>
      </c>
      <c r="V185" s="77">
        <v>8033</v>
      </c>
      <c r="W185" s="404">
        <f t="shared" si="14"/>
        <v>0</v>
      </c>
    </row>
    <row r="186" spans="1:23" ht="12.75" customHeight="1" x14ac:dyDescent="0.2">
      <c r="A186" s="386" t="s">
        <v>2502</v>
      </c>
      <c r="B186" s="398" t="s">
        <v>1198</v>
      </c>
      <c r="C186" s="398" t="s">
        <v>3329</v>
      </c>
      <c r="D186" s="399">
        <v>152558.87000000002</v>
      </c>
      <c r="E186" s="399">
        <v>1480334.5799999998</v>
      </c>
      <c r="F186" s="399">
        <v>5590418.8000000007</v>
      </c>
      <c r="G186" s="524">
        <f t="shared" si="13"/>
        <v>7223312.2500000009</v>
      </c>
      <c r="H186" s="406"/>
      <c r="I186" s="407"/>
      <c r="J186" s="407"/>
      <c r="K186" s="406">
        <f t="shared" si="15"/>
        <v>152558.87000000002</v>
      </c>
      <c r="L186" s="406">
        <f t="shared" si="16"/>
        <v>1480334.5799999998</v>
      </c>
      <c r="M186" s="406">
        <f t="shared" si="17"/>
        <v>5590418.8000000007</v>
      </c>
      <c r="N186" s="398" t="s">
        <v>3309</v>
      </c>
      <c r="O186" s="398"/>
      <c r="P186" s="403">
        <f>SUMIF('Antelope Bailey Split BA'!$B$7:$B$29,B186,'Antelope Bailey Split BA'!$C$7:$C$29)</f>
        <v>0</v>
      </c>
      <c r="Q186" s="403" t="str">
        <f>IF(AND(P186=1,'Plant Total by Account'!$H$1=2),"EKWRA","")</f>
        <v/>
      </c>
      <c r="S186" s="403">
        <f>SUMIF('ISO w_System Splits'!$D$524:$D$615,B186,'ISO w_System Splits'!$P$524:$P$615)</f>
        <v>0</v>
      </c>
      <c r="T186" s="403" t="str">
        <f>IF(AND(S186&lt;&gt;0,'Plant Total by Account'!$H$1=2),"EKWRA TL Change","")</f>
        <v/>
      </c>
      <c r="V186" s="77">
        <v>8035</v>
      </c>
      <c r="W186" s="404">
        <f t="shared" si="14"/>
        <v>0</v>
      </c>
    </row>
    <row r="187" spans="1:23" ht="12.75" customHeight="1" x14ac:dyDescent="0.2">
      <c r="A187" s="386" t="s">
        <v>2503</v>
      </c>
      <c r="B187" s="398" t="s">
        <v>800</v>
      </c>
      <c r="C187" s="398" t="s">
        <v>3333</v>
      </c>
      <c r="D187" s="399">
        <v>44689.06</v>
      </c>
      <c r="E187" s="399">
        <v>446369.66000000003</v>
      </c>
      <c r="F187" s="399">
        <v>13590222.190000003</v>
      </c>
      <c r="G187" s="524">
        <f t="shared" si="13"/>
        <v>14081280.910000004</v>
      </c>
      <c r="H187" s="406"/>
      <c r="I187" s="407"/>
      <c r="J187" s="407"/>
      <c r="K187" s="406">
        <f t="shared" si="15"/>
        <v>44689.06</v>
      </c>
      <c r="L187" s="406">
        <f t="shared" si="16"/>
        <v>446369.66000000003</v>
      </c>
      <c r="M187" s="406">
        <f t="shared" si="17"/>
        <v>13590222.190000003</v>
      </c>
      <c r="N187" s="398" t="s">
        <v>3309</v>
      </c>
      <c r="O187" s="398"/>
      <c r="P187" s="403">
        <f>SUMIF('Antelope Bailey Split BA'!$B$7:$B$29,B187,'Antelope Bailey Split BA'!$C$7:$C$29)</f>
        <v>0</v>
      </c>
      <c r="Q187" s="403" t="str">
        <f>IF(AND(P187=1,'Plant Total by Account'!$H$1=2),"EKWRA","")</f>
        <v/>
      </c>
      <c r="S187" s="403">
        <f>SUMIF('ISO w_System Splits'!$D$524:$D$615,B187,'ISO w_System Splits'!$P$524:$P$615)</f>
        <v>0</v>
      </c>
      <c r="T187" s="403" t="str">
        <f>IF(AND(S187&lt;&gt;0,'Plant Total by Account'!$H$1=2),"EKWRA TL Change","")</f>
        <v/>
      </c>
      <c r="V187" s="77">
        <v>8036</v>
      </c>
      <c r="W187" s="404">
        <f t="shared" si="14"/>
        <v>0</v>
      </c>
    </row>
    <row r="188" spans="1:23" ht="12.75" customHeight="1" x14ac:dyDescent="0.2">
      <c r="A188" s="386" t="s">
        <v>2505</v>
      </c>
      <c r="B188" s="398" t="s">
        <v>1200</v>
      </c>
      <c r="C188" s="398" t="s">
        <v>3329</v>
      </c>
      <c r="D188" s="399">
        <v>22819.489999999998</v>
      </c>
      <c r="E188" s="399">
        <v>182400.77</v>
      </c>
      <c r="F188" s="399">
        <v>9464059.9600000009</v>
      </c>
      <c r="G188" s="524">
        <f t="shared" si="13"/>
        <v>9669280.2200000007</v>
      </c>
      <c r="H188" s="406"/>
      <c r="I188" s="407"/>
      <c r="J188" s="407"/>
      <c r="K188" s="406">
        <f t="shared" si="15"/>
        <v>22819.489999999998</v>
      </c>
      <c r="L188" s="406">
        <f t="shared" si="16"/>
        <v>182400.77</v>
      </c>
      <c r="M188" s="406">
        <f t="shared" si="17"/>
        <v>9464059.9600000009</v>
      </c>
      <c r="N188" s="398" t="s">
        <v>3309</v>
      </c>
      <c r="O188" s="398"/>
      <c r="P188" s="403">
        <f>SUMIF('Antelope Bailey Split BA'!$B$7:$B$29,B188,'Antelope Bailey Split BA'!$C$7:$C$29)</f>
        <v>0</v>
      </c>
      <c r="Q188" s="403" t="str">
        <f>IF(AND(P188=1,'Plant Total by Account'!$H$1=2),"EKWRA","")</f>
        <v/>
      </c>
      <c r="S188" s="403">
        <f>SUMIF('ISO w_System Splits'!$D$524:$D$615,B188,'ISO w_System Splits'!$P$524:$P$615)</f>
        <v>0</v>
      </c>
      <c r="T188" s="403" t="str">
        <f>IF(AND(S188&lt;&gt;0,'Plant Total by Account'!$H$1=2),"EKWRA TL Change","")</f>
        <v/>
      </c>
      <c r="V188" s="77">
        <v>8038</v>
      </c>
      <c r="W188" s="404">
        <f t="shared" si="14"/>
        <v>0</v>
      </c>
    </row>
    <row r="189" spans="1:23" ht="12.75" customHeight="1" x14ac:dyDescent="0.2">
      <c r="A189" s="386" t="s">
        <v>2506</v>
      </c>
      <c r="B189" s="398" t="s">
        <v>1201</v>
      </c>
      <c r="C189" s="398" t="s">
        <v>3329</v>
      </c>
      <c r="D189" s="399">
        <v>174874.56</v>
      </c>
      <c r="E189" s="399">
        <v>353997.58999999997</v>
      </c>
      <c r="F189" s="399">
        <v>4702739.4500000011</v>
      </c>
      <c r="G189" s="524">
        <f t="shared" si="13"/>
        <v>5231611.6000000015</v>
      </c>
      <c r="H189" s="406"/>
      <c r="I189" s="407"/>
      <c r="J189" s="407"/>
      <c r="K189" s="406">
        <f t="shared" si="15"/>
        <v>174874.56</v>
      </c>
      <c r="L189" s="406">
        <f t="shared" si="16"/>
        <v>353997.58999999997</v>
      </c>
      <c r="M189" s="406">
        <f t="shared" si="17"/>
        <v>4702739.4500000011</v>
      </c>
      <c r="N189" s="398" t="s">
        <v>3309</v>
      </c>
      <c r="O189" s="398"/>
      <c r="P189" s="403">
        <f>SUMIF('Antelope Bailey Split BA'!$B$7:$B$29,B189,'Antelope Bailey Split BA'!$C$7:$C$29)</f>
        <v>0</v>
      </c>
      <c r="Q189" s="403" t="str">
        <f>IF(AND(P189=1,'Plant Total by Account'!$H$1=2),"EKWRA","")</f>
        <v/>
      </c>
      <c r="S189" s="403">
        <f>SUMIF('ISO w_System Splits'!$D$524:$D$615,B189,'ISO w_System Splits'!$P$524:$P$615)</f>
        <v>0</v>
      </c>
      <c r="T189" s="403" t="str">
        <f>IF(AND(S189&lt;&gt;0,'Plant Total by Account'!$H$1=2),"EKWRA TL Change","")</f>
        <v/>
      </c>
      <c r="V189" s="77">
        <v>8039</v>
      </c>
      <c r="W189" s="404">
        <f t="shared" si="14"/>
        <v>0</v>
      </c>
    </row>
    <row r="190" spans="1:23" ht="12.75" customHeight="1" x14ac:dyDescent="0.2">
      <c r="A190" s="386" t="s">
        <v>2507</v>
      </c>
      <c r="B190" s="398" t="s">
        <v>1202</v>
      </c>
      <c r="C190" s="398" t="s">
        <v>3329</v>
      </c>
      <c r="D190" s="399">
        <v>27166.5</v>
      </c>
      <c r="E190" s="399">
        <v>341072.21999999991</v>
      </c>
      <c r="F190" s="399">
        <v>2889052.6899999981</v>
      </c>
      <c r="G190" s="524">
        <f t="shared" si="13"/>
        <v>3257291.4099999978</v>
      </c>
      <c r="H190" s="406"/>
      <c r="I190" s="407"/>
      <c r="J190" s="407"/>
      <c r="K190" s="406">
        <f t="shared" si="15"/>
        <v>27166.5</v>
      </c>
      <c r="L190" s="406">
        <f t="shared" si="16"/>
        <v>341072.21999999991</v>
      </c>
      <c r="M190" s="406">
        <f t="shared" si="17"/>
        <v>2889052.6899999981</v>
      </c>
      <c r="N190" s="398" t="s">
        <v>3309</v>
      </c>
      <c r="O190" s="398"/>
      <c r="P190" s="403">
        <f>SUMIF('Antelope Bailey Split BA'!$B$7:$B$29,B190,'Antelope Bailey Split BA'!$C$7:$C$29)</f>
        <v>0</v>
      </c>
      <c r="Q190" s="403" t="str">
        <f>IF(AND(P190=1,'Plant Total by Account'!$H$1=2),"EKWRA","")</f>
        <v/>
      </c>
      <c r="S190" s="403">
        <f>SUMIF('ISO w_System Splits'!$D$524:$D$615,B190,'ISO w_System Splits'!$P$524:$P$615)</f>
        <v>0</v>
      </c>
      <c r="T190" s="403" t="str">
        <f>IF(AND(S190&lt;&gt;0,'Plant Total by Account'!$H$1=2),"EKWRA TL Change","")</f>
        <v/>
      </c>
      <c r="V190" s="77">
        <v>8041</v>
      </c>
      <c r="W190" s="404">
        <f t="shared" si="14"/>
        <v>0</v>
      </c>
    </row>
    <row r="191" spans="1:23" ht="12.75" customHeight="1" x14ac:dyDescent="0.2">
      <c r="A191" s="386" t="s">
        <v>2508</v>
      </c>
      <c r="B191" s="398" t="s">
        <v>1203</v>
      </c>
      <c r="C191" s="398" t="s">
        <v>3329</v>
      </c>
      <c r="D191" s="399">
        <v>27869.759999999998</v>
      </c>
      <c r="E191" s="399">
        <v>594421.29</v>
      </c>
      <c r="F191" s="399">
        <v>8060072.7199999923</v>
      </c>
      <c r="G191" s="524">
        <f t="shared" si="13"/>
        <v>8682363.7699999921</v>
      </c>
      <c r="H191" s="406"/>
      <c r="I191" s="407"/>
      <c r="J191" s="407"/>
      <c r="K191" s="406">
        <f t="shared" si="15"/>
        <v>27869.759999999998</v>
      </c>
      <c r="L191" s="406">
        <f t="shared" si="16"/>
        <v>594421.29</v>
      </c>
      <c r="M191" s="406">
        <f t="shared" si="17"/>
        <v>8060072.7199999923</v>
      </c>
      <c r="N191" s="398" t="s">
        <v>3309</v>
      </c>
      <c r="O191" s="398"/>
      <c r="P191" s="403">
        <f>SUMIF('Antelope Bailey Split BA'!$B$7:$B$29,B191,'Antelope Bailey Split BA'!$C$7:$C$29)</f>
        <v>0</v>
      </c>
      <c r="Q191" s="403" t="str">
        <f>IF(AND(P191=1,'Plant Total by Account'!$H$1=2),"EKWRA","")</f>
        <v/>
      </c>
      <c r="S191" s="403">
        <f>SUMIF('ISO w_System Splits'!$D$524:$D$615,B191,'ISO w_System Splits'!$P$524:$P$615)</f>
        <v>0</v>
      </c>
      <c r="T191" s="403" t="str">
        <f>IF(AND(S191&lt;&gt;0,'Plant Total by Account'!$H$1=2),"EKWRA TL Change","")</f>
        <v/>
      </c>
      <c r="V191" s="77">
        <v>8042</v>
      </c>
      <c r="W191" s="404">
        <f t="shared" si="14"/>
        <v>0</v>
      </c>
    </row>
    <row r="192" spans="1:23" ht="12.75" customHeight="1" x14ac:dyDescent="0.2">
      <c r="A192" s="386" t="s">
        <v>2509</v>
      </c>
      <c r="B192" s="398" t="s">
        <v>1204</v>
      </c>
      <c r="C192" s="398" t="s">
        <v>3329</v>
      </c>
      <c r="D192" s="399">
        <v>38080.770000000004</v>
      </c>
      <c r="E192" s="399">
        <v>69777.960000000006</v>
      </c>
      <c r="F192" s="399">
        <v>4163817.1400000029</v>
      </c>
      <c r="G192" s="524">
        <f t="shared" si="13"/>
        <v>4271675.8700000029</v>
      </c>
      <c r="H192" s="406"/>
      <c r="I192" s="407"/>
      <c r="J192" s="407"/>
      <c r="K192" s="406">
        <f t="shared" si="15"/>
        <v>38080.770000000004</v>
      </c>
      <c r="L192" s="406">
        <f t="shared" si="16"/>
        <v>69777.960000000006</v>
      </c>
      <c r="M192" s="406">
        <f t="shared" si="17"/>
        <v>4163817.1400000029</v>
      </c>
      <c r="N192" s="398" t="s">
        <v>3309</v>
      </c>
      <c r="O192" s="398"/>
      <c r="P192" s="403">
        <f>SUMIF('Antelope Bailey Split BA'!$B$7:$B$29,B192,'Antelope Bailey Split BA'!$C$7:$C$29)</f>
        <v>0</v>
      </c>
      <c r="Q192" s="403" t="str">
        <f>IF(AND(P192=1,'Plant Total by Account'!$H$1=2),"EKWRA","")</f>
        <v/>
      </c>
      <c r="S192" s="403">
        <f>SUMIF('ISO w_System Splits'!$D$524:$D$615,B192,'ISO w_System Splits'!$P$524:$P$615)</f>
        <v>0</v>
      </c>
      <c r="T192" s="403" t="str">
        <f>IF(AND(S192&lt;&gt;0,'Plant Total by Account'!$H$1=2),"EKWRA TL Change","")</f>
        <v/>
      </c>
      <c r="V192" s="77">
        <v>8044</v>
      </c>
      <c r="W192" s="404">
        <f t="shared" si="14"/>
        <v>0</v>
      </c>
    </row>
    <row r="193" spans="1:23" ht="12.75" customHeight="1" x14ac:dyDescent="0.2">
      <c r="A193" s="386" t="s">
        <v>2510</v>
      </c>
      <c r="B193" s="398" t="s">
        <v>1205</v>
      </c>
      <c r="C193" s="398" t="s">
        <v>3329</v>
      </c>
      <c r="D193" s="399">
        <v>39143.800000000003</v>
      </c>
      <c r="E193" s="399">
        <v>0</v>
      </c>
      <c r="F193" s="399">
        <v>23872.93</v>
      </c>
      <c r="G193" s="524">
        <f t="shared" si="13"/>
        <v>63016.73</v>
      </c>
      <c r="H193" s="406"/>
      <c r="I193" s="407"/>
      <c r="J193" s="407"/>
      <c r="K193" s="406">
        <f t="shared" si="15"/>
        <v>39143.800000000003</v>
      </c>
      <c r="L193" s="406">
        <f t="shared" si="16"/>
        <v>0</v>
      </c>
      <c r="M193" s="406">
        <f t="shared" si="17"/>
        <v>23872.93</v>
      </c>
      <c r="N193" s="398" t="s">
        <v>3309</v>
      </c>
      <c r="O193" s="398"/>
      <c r="P193" s="403">
        <f>SUMIF('Antelope Bailey Split BA'!$B$7:$B$29,B193,'Antelope Bailey Split BA'!$C$7:$C$29)</f>
        <v>0</v>
      </c>
      <c r="Q193" s="403" t="str">
        <f>IF(AND(P193=1,'Plant Total by Account'!$H$1=2),"EKWRA","")</f>
        <v/>
      </c>
      <c r="S193" s="403">
        <f>SUMIF('ISO w_System Splits'!$D$524:$D$615,B193,'ISO w_System Splits'!$P$524:$P$615)</f>
        <v>0</v>
      </c>
      <c r="T193" s="403" t="str">
        <f>IF(AND(S193&lt;&gt;0,'Plant Total by Account'!$H$1=2),"EKWRA TL Change","")</f>
        <v/>
      </c>
      <c r="V193" s="77">
        <v>8045</v>
      </c>
      <c r="W193" s="404">
        <f t="shared" si="14"/>
        <v>0</v>
      </c>
    </row>
    <row r="194" spans="1:23" ht="12.75" customHeight="1" x14ac:dyDescent="0.2">
      <c r="A194" s="386" t="s">
        <v>2511</v>
      </c>
      <c r="B194" s="398" t="s">
        <v>1206</v>
      </c>
      <c r="C194" s="398" t="s">
        <v>3329</v>
      </c>
      <c r="D194" s="399">
        <v>0</v>
      </c>
      <c r="E194" s="399">
        <v>19706.84</v>
      </c>
      <c r="F194" s="399">
        <v>763536.97000000009</v>
      </c>
      <c r="G194" s="524">
        <f t="shared" si="13"/>
        <v>783243.81</v>
      </c>
      <c r="H194" s="406"/>
      <c r="I194" s="407"/>
      <c r="J194" s="407"/>
      <c r="K194" s="406">
        <f t="shared" si="15"/>
        <v>0</v>
      </c>
      <c r="L194" s="406">
        <f t="shared" si="16"/>
        <v>19706.84</v>
      </c>
      <c r="M194" s="406">
        <f t="shared" si="17"/>
        <v>763536.97000000009</v>
      </c>
      <c r="N194" s="398" t="s">
        <v>3309</v>
      </c>
      <c r="O194" s="398"/>
      <c r="P194" s="403">
        <f>SUMIF('Antelope Bailey Split BA'!$B$7:$B$29,B194,'Antelope Bailey Split BA'!$C$7:$C$29)</f>
        <v>0</v>
      </c>
      <c r="Q194" s="403" t="str">
        <f>IF(AND(P194=1,'Plant Total by Account'!$H$1=2),"EKWRA","")</f>
        <v/>
      </c>
      <c r="S194" s="403">
        <f>SUMIF('ISO w_System Splits'!$D$524:$D$615,B194,'ISO w_System Splits'!$P$524:$P$615)</f>
        <v>0</v>
      </c>
      <c r="T194" s="403" t="str">
        <f>IF(AND(S194&lt;&gt;0,'Plant Total by Account'!$H$1=2),"EKWRA TL Change","")</f>
        <v/>
      </c>
      <c r="V194" s="77">
        <v>8047</v>
      </c>
      <c r="W194" s="404">
        <f t="shared" si="14"/>
        <v>0</v>
      </c>
    </row>
    <row r="195" spans="1:23" ht="12.75" customHeight="1" x14ac:dyDescent="0.2">
      <c r="A195" s="386" t="s">
        <v>2512</v>
      </c>
      <c r="B195" s="398" t="s">
        <v>1207</v>
      </c>
      <c r="C195" s="398" t="s">
        <v>3336</v>
      </c>
      <c r="D195" s="399">
        <v>0</v>
      </c>
      <c r="E195" s="399">
        <v>64680.76</v>
      </c>
      <c r="F195" s="399">
        <v>7772339.4699999988</v>
      </c>
      <c r="G195" s="524">
        <f t="shared" si="13"/>
        <v>7837020.2299999986</v>
      </c>
      <c r="H195" s="406"/>
      <c r="I195" s="407"/>
      <c r="J195" s="407"/>
      <c r="K195" s="406">
        <f t="shared" si="15"/>
        <v>0</v>
      </c>
      <c r="L195" s="406">
        <f t="shared" si="16"/>
        <v>64680.76</v>
      </c>
      <c r="M195" s="406">
        <f t="shared" si="17"/>
        <v>7772339.4699999988</v>
      </c>
      <c r="N195" s="398" t="s">
        <v>3309</v>
      </c>
      <c r="O195" s="398"/>
      <c r="P195" s="403">
        <f>SUMIF('Antelope Bailey Split BA'!$B$7:$B$29,B195,'Antelope Bailey Split BA'!$C$7:$C$29)</f>
        <v>0</v>
      </c>
      <c r="Q195" s="403" t="str">
        <f>IF(AND(P195=1,'Plant Total by Account'!$H$1=2),"EKWRA","")</f>
        <v/>
      </c>
      <c r="S195" s="403">
        <f>SUMIF('ISO w_System Splits'!$D$524:$D$615,B195,'ISO w_System Splits'!$P$524:$P$615)</f>
        <v>0</v>
      </c>
      <c r="T195" s="403" t="str">
        <f>IF(AND(S195&lt;&gt;0,'Plant Total by Account'!$H$1=2),"EKWRA TL Change","")</f>
        <v/>
      </c>
      <c r="V195" s="77">
        <v>8048</v>
      </c>
      <c r="W195" s="404">
        <f t="shared" si="14"/>
        <v>0</v>
      </c>
    </row>
    <row r="196" spans="1:23" ht="12.75" customHeight="1" x14ac:dyDescent="0.2">
      <c r="A196" s="386" t="s">
        <v>2514</v>
      </c>
      <c r="B196" s="398" t="s">
        <v>1209</v>
      </c>
      <c r="C196" s="398" t="s">
        <v>3329</v>
      </c>
      <c r="D196" s="399">
        <v>0</v>
      </c>
      <c r="E196" s="399">
        <v>0</v>
      </c>
      <c r="F196" s="399">
        <v>1196850.5499999998</v>
      </c>
      <c r="G196" s="524">
        <f t="shared" si="13"/>
        <v>1196850.5499999998</v>
      </c>
      <c r="H196" s="406"/>
      <c r="I196" s="407"/>
      <c r="J196" s="407"/>
      <c r="K196" s="406">
        <f t="shared" si="15"/>
        <v>0</v>
      </c>
      <c r="L196" s="406">
        <f t="shared" si="16"/>
        <v>0</v>
      </c>
      <c r="M196" s="406">
        <f t="shared" si="17"/>
        <v>1196850.5499999998</v>
      </c>
      <c r="N196" s="398" t="s">
        <v>3309</v>
      </c>
      <c r="O196" s="398"/>
      <c r="P196" s="403">
        <f>SUMIF('Antelope Bailey Split BA'!$B$7:$B$29,B196,'Antelope Bailey Split BA'!$C$7:$C$29)</f>
        <v>0</v>
      </c>
      <c r="Q196" s="403" t="str">
        <f>IF(AND(P196=1,'Plant Total by Account'!$H$1=2),"EKWRA","")</f>
        <v/>
      </c>
      <c r="S196" s="403">
        <f>SUMIF('ISO w_System Splits'!$D$524:$D$615,B196,'ISO w_System Splits'!$P$524:$P$615)</f>
        <v>0</v>
      </c>
      <c r="T196" s="403" t="str">
        <f>IF(AND(S196&lt;&gt;0,'Plant Total by Account'!$H$1=2),"EKWRA TL Change","")</f>
        <v/>
      </c>
      <c r="V196" s="77">
        <v>8059</v>
      </c>
      <c r="W196" s="404">
        <f t="shared" si="14"/>
        <v>0</v>
      </c>
    </row>
    <row r="197" spans="1:23" ht="12.75" customHeight="1" x14ac:dyDescent="0.2">
      <c r="A197" s="386" t="s">
        <v>2515</v>
      </c>
      <c r="B197" s="398" t="s">
        <v>1210</v>
      </c>
      <c r="C197" s="398" t="s">
        <v>3329</v>
      </c>
      <c r="D197" s="399">
        <v>2976.42</v>
      </c>
      <c r="E197" s="399">
        <v>462.72</v>
      </c>
      <c r="F197" s="399">
        <v>271193.85000000003</v>
      </c>
      <c r="G197" s="524">
        <f t="shared" si="13"/>
        <v>274632.99000000005</v>
      </c>
      <c r="H197" s="406"/>
      <c r="I197" s="407"/>
      <c r="J197" s="407"/>
      <c r="K197" s="406">
        <f t="shared" si="15"/>
        <v>2976.42</v>
      </c>
      <c r="L197" s="406">
        <f t="shared" si="16"/>
        <v>462.72</v>
      </c>
      <c r="M197" s="406">
        <f t="shared" si="17"/>
        <v>271193.85000000003</v>
      </c>
      <c r="N197" s="398" t="s">
        <v>3309</v>
      </c>
      <c r="O197" s="398"/>
      <c r="P197" s="403">
        <f>SUMIF('Antelope Bailey Split BA'!$B$7:$B$29,B197,'Antelope Bailey Split BA'!$C$7:$C$29)</f>
        <v>0</v>
      </c>
      <c r="Q197" s="403" t="str">
        <f>IF(AND(P197=1,'Plant Total by Account'!$H$1=2),"EKWRA","")</f>
        <v/>
      </c>
      <c r="S197" s="403">
        <f>SUMIF('ISO w_System Splits'!$D$524:$D$615,B197,'ISO w_System Splits'!$P$524:$P$615)</f>
        <v>0</v>
      </c>
      <c r="T197" s="403" t="str">
        <f>IF(AND(S197&lt;&gt;0,'Plant Total by Account'!$H$1=2),"EKWRA TL Change","")</f>
        <v/>
      </c>
      <c r="V197" s="77">
        <v>8061</v>
      </c>
      <c r="W197" s="404">
        <f t="shared" si="14"/>
        <v>0</v>
      </c>
    </row>
    <row r="198" spans="1:23" ht="12.75" customHeight="1" x14ac:dyDescent="0.2">
      <c r="A198" s="386" t="s">
        <v>2517</v>
      </c>
      <c r="B198" s="398" t="s">
        <v>2241</v>
      </c>
      <c r="C198" s="398" t="s">
        <v>3329</v>
      </c>
      <c r="D198" s="399">
        <v>0</v>
      </c>
      <c r="E198" s="399">
        <v>0</v>
      </c>
      <c r="F198" s="399">
        <v>4275.01</v>
      </c>
      <c r="G198" s="524">
        <f t="shared" si="13"/>
        <v>4275.01</v>
      </c>
      <c r="H198" s="406"/>
      <c r="I198" s="407"/>
      <c r="J198" s="407"/>
      <c r="K198" s="406">
        <f t="shared" si="15"/>
        <v>0</v>
      </c>
      <c r="L198" s="406">
        <f t="shared" si="16"/>
        <v>0</v>
      </c>
      <c r="M198" s="406">
        <f t="shared" si="17"/>
        <v>4275.01</v>
      </c>
      <c r="N198" s="398" t="s">
        <v>3309</v>
      </c>
      <c r="O198" s="398"/>
      <c r="P198" s="403">
        <f>SUMIF('Antelope Bailey Split BA'!$B$7:$B$29,B198,'Antelope Bailey Split BA'!$C$7:$C$29)</f>
        <v>0</v>
      </c>
      <c r="Q198" s="403" t="str">
        <f>IF(AND(P198=1,'Plant Total by Account'!$H$1=2),"EKWRA","")</f>
        <v/>
      </c>
      <c r="S198" s="403">
        <f>SUMIF('ISO w_System Splits'!$D$524:$D$615,B198,'ISO w_System Splits'!$P$524:$P$615)</f>
        <v>0</v>
      </c>
      <c r="T198" s="403" t="str">
        <f>IF(AND(S198&lt;&gt;0,'Plant Total by Account'!$H$1=2),"EKWRA TL Change","")</f>
        <v/>
      </c>
      <c r="V198" s="77">
        <v>8064</v>
      </c>
      <c r="W198" s="404">
        <f t="shared" si="14"/>
        <v>0</v>
      </c>
    </row>
    <row r="199" spans="1:23" ht="12.75" customHeight="1" x14ac:dyDescent="0.2">
      <c r="A199" s="386" t="s">
        <v>2518</v>
      </c>
      <c r="B199" s="398" t="s">
        <v>1212</v>
      </c>
      <c r="C199" s="398" t="s">
        <v>3329</v>
      </c>
      <c r="D199" s="399">
        <v>0</v>
      </c>
      <c r="E199" s="399">
        <v>0</v>
      </c>
      <c r="F199" s="399">
        <v>9757.5400000000009</v>
      </c>
      <c r="G199" s="524">
        <f t="shared" si="13"/>
        <v>9757.5400000000009</v>
      </c>
      <c r="H199" s="406"/>
      <c r="I199" s="407"/>
      <c r="J199" s="407"/>
      <c r="K199" s="406">
        <f t="shared" si="15"/>
        <v>0</v>
      </c>
      <c r="L199" s="406">
        <f t="shared" si="16"/>
        <v>0</v>
      </c>
      <c r="M199" s="406">
        <f t="shared" si="17"/>
        <v>9757.5400000000009</v>
      </c>
      <c r="N199" s="398" t="s">
        <v>3309</v>
      </c>
      <c r="O199" s="398"/>
      <c r="P199" s="403">
        <f>SUMIF('Antelope Bailey Split BA'!$B$7:$B$29,B199,'Antelope Bailey Split BA'!$C$7:$C$29)</f>
        <v>0</v>
      </c>
      <c r="Q199" s="403" t="str">
        <f>IF(AND(P199=1,'Plant Total by Account'!$H$1=2),"EKWRA","")</f>
        <v/>
      </c>
      <c r="S199" s="403">
        <f>SUMIF('ISO w_System Splits'!$D$524:$D$615,B199,'ISO w_System Splits'!$P$524:$P$615)</f>
        <v>0</v>
      </c>
      <c r="T199" s="403" t="str">
        <f>IF(AND(S199&lt;&gt;0,'Plant Total by Account'!$H$1=2),"EKWRA TL Change","")</f>
        <v/>
      </c>
      <c r="V199" s="77">
        <v>8067</v>
      </c>
      <c r="W199" s="404">
        <f t="shared" si="14"/>
        <v>0</v>
      </c>
    </row>
    <row r="200" spans="1:23" ht="12.75" customHeight="1" x14ac:dyDescent="0.2">
      <c r="A200" s="386" t="s">
        <v>2519</v>
      </c>
      <c r="B200" s="398" t="s">
        <v>802</v>
      </c>
      <c r="C200" s="398" t="s">
        <v>3329</v>
      </c>
      <c r="D200" s="399">
        <v>0</v>
      </c>
      <c r="E200" s="399">
        <v>436151.07999999996</v>
      </c>
      <c r="F200" s="399">
        <v>2359288.0100000007</v>
      </c>
      <c r="G200" s="524">
        <f t="shared" si="13"/>
        <v>2795439.0900000008</v>
      </c>
      <c r="H200" s="406"/>
      <c r="I200" s="407"/>
      <c r="J200" s="407"/>
      <c r="K200" s="406">
        <f t="shared" si="15"/>
        <v>0</v>
      </c>
      <c r="L200" s="406">
        <f t="shared" si="16"/>
        <v>436151.07999999996</v>
      </c>
      <c r="M200" s="406">
        <f t="shared" si="17"/>
        <v>2359288.0100000007</v>
      </c>
      <c r="N200" s="398" t="s">
        <v>3309</v>
      </c>
      <c r="O200" s="398"/>
      <c r="P200" s="403">
        <f>SUMIF('Antelope Bailey Split BA'!$B$7:$B$29,B200,'Antelope Bailey Split BA'!$C$7:$C$29)</f>
        <v>0</v>
      </c>
      <c r="Q200" s="403" t="str">
        <f>IF(AND(P200=1,'Plant Total by Account'!$H$1=2),"EKWRA","")</f>
        <v/>
      </c>
      <c r="S200" s="403">
        <f>SUMIF('ISO w_System Splits'!$D$524:$D$615,B200,'ISO w_System Splits'!$P$524:$P$615)</f>
        <v>0</v>
      </c>
      <c r="T200" s="403" t="str">
        <f>IF(AND(S200&lt;&gt;0,'Plant Total by Account'!$H$1=2),"EKWRA TL Change","")</f>
        <v/>
      </c>
      <c r="V200" s="77">
        <v>8072</v>
      </c>
      <c r="W200" s="404">
        <f t="shared" si="14"/>
        <v>0</v>
      </c>
    </row>
    <row r="201" spans="1:23" ht="12.75" customHeight="1" x14ac:dyDescent="0.2">
      <c r="A201" s="386" t="s">
        <v>2520</v>
      </c>
      <c r="B201" s="398" t="s">
        <v>803</v>
      </c>
      <c r="C201" s="398" t="s">
        <v>3329</v>
      </c>
      <c r="D201" s="399">
        <v>166697.32</v>
      </c>
      <c r="E201" s="399">
        <v>1046840.5</v>
      </c>
      <c r="F201" s="399">
        <v>7481161.0400000038</v>
      </c>
      <c r="G201" s="524">
        <f t="shared" si="13"/>
        <v>8694698.8600000031</v>
      </c>
      <c r="H201" s="406"/>
      <c r="I201" s="407"/>
      <c r="J201" s="407"/>
      <c r="K201" s="406">
        <f t="shared" si="15"/>
        <v>166697.32</v>
      </c>
      <c r="L201" s="406">
        <f t="shared" si="16"/>
        <v>1046840.5</v>
      </c>
      <c r="M201" s="406">
        <f t="shared" si="17"/>
        <v>7481161.0400000038</v>
      </c>
      <c r="N201" s="398" t="s">
        <v>3309</v>
      </c>
      <c r="O201" s="398"/>
      <c r="P201" s="403">
        <f>SUMIF('Antelope Bailey Split BA'!$B$7:$B$29,B201,'Antelope Bailey Split BA'!$C$7:$C$29)</f>
        <v>0</v>
      </c>
      <c r="Q201" s="403" t="str">
        <f>IF(AND(P201=1,'Plant Total by Account'!$H$1=2),"EKWRA","")</f>
        <v/>
      </c>
      <c r="S201" s="403">
        <f>SUMIF('ISO w_System Splits'!$D$524:$D$615,B201,'ISO w_System Splits'!$P$524:$P$615)</f>
        <v>0</v>
      </c>
      <c r="T201" s="403" t="str">
        <f>IF(AND(S201&lt;&gt;0,'Plant Total by Account'!$H$1=2),"EKWRA TL Change","")</f>
        <v/>
      </c>
      <c r="V201" s="77">
        <v>8073</v>
      </c>
      <c r="W201" s="404">
        <f t="shared" si="14"/>
        <v>0</v>
      </c>
    </row>
    <row r="202" spans="1:23" ht="12.75" customHeight="1" x14ac:dyDescent="0.2">
      <c r="A202" s="386" t="s">
        <v>2083</v>
      </c>
      <c r="B202" s="398" t="s">
        <v>1213</v>
      </c>
      <c r="C202" s="398" t="s">
        <v>3329</v>
      </c>
      <c r="D202" s="399">
        <v>0</v>
      </c>
      <c r="E202" s="399">
        <v>0</v>
      </c>
      <c r="F202" s="399">
        <v>139483.14000000001</v>
      </c>
      <c r="G202" s="524">
        <f t="shared" ref="G202:G265" si="18">SUM(D202:F202)</f>
        <v>139483.14000000001</v>
      </c>
      <c r="H202" s="406"/>
      <c r="I202" s="407"/>
      <c r="J202" s="407"/>
      <c r="K202" s="406">
        <f t="shared" si="15"/>
        <v>0</v>
      </c>
      <c r="L202" s="406">
        <f t="shared" si="16"/>
        <v>0</v>
      </c>
      <c r="M202" s="406">
        <f t="shared" si="17"/>
        <v>139483.14000000001</v>
      </c>
      <c r="N202" s="398" t="s">
        <v>3309</v>
      </c>
      <c r="O202" s="398"/>
      <c r="P202" s="403">
        <f>SUMIF('Antelope Bailey Split BA'!$B$7:$B$29,B202,'Antelope Bailey Split BA'!$C$7:$C$29)</f>
        <v>0</v>
      </c>
      <c r="Q202" s="403" t="str">
        <f>IF(AND(P202=1,'Plant Total by Account'!$H$1=2),"EKWRA","")</f>
        <v/>
      </c>
      <c r="S202" s="403">
        <f>SUMIF('ISO w_System Splits'!$D$524:$D$615,B202,'ISO w_System Splits'!$P$524:$P$615)</f>
        <v>0</v>
      </c>
      <c r="T202" s="403" t="str">
        <f>IF(AND(S202&lt;&gt;0,'Plant Total by Account'!$H$1=2),"EKWRA TL Change","")</f>
        <v/>
      </c>
      <c r="V202" s="77">
        <v>8074</v>
      </c>
      <c r="W202" s="404">
        <f t="shared" ref="W202:W265" si="19">E:E-I:I-L:L</f>
        <v>0</v>
      </c>
    </row>
    <row r="203" spans="1:23" ht="12.75" customHeight="1" x14ac:dyDescent="0.2">
      <c r="A203" s="386" t="s">
        <v>2521</v>
      </c>
      <c r="B203" s="398" t="s">
        <v>1214</v>
      </c>
      <c r="C203" s="398" t="s">
        <v>3329</v>
      </c>
      <c r="D203" s="399">
        <v>7138.56</v>
      </c>
      <c r="E203" s="399">
        <v>178623.76</v>
      </c>
      <c r="F203" s="399">
        <v>1432133.67</v>
      </c>
      <c r="G203" s="524">
        <f t="shared" si="18"/>
        <v>1617895.99</v>
      </c>
      <c r="H203" s="406"/>
      <c r="I203" s="407"/>
      <c r="J203" s="407"/>
      <c r="K203" s="406">
        <f t="shared" si="15"/>
        <v>7138.56</v>
      </c>
      <c r="L203" s="406">
        <f t="shared" si="16"/>
        <v>178623.76</v>
      </c>
      <c r="M203" s="406">
        <f t="shared" si="17"/>
        <v>1432133.67</v>
      </c>
      <c r="N203" s="398" t="s">
        <v>3309</v>
      </c>
      <c r="O203" s="398"/>
      <c r="P203" s="403">
        <f>SUMIF('Antelope Bailey Split BA'!$B$7:$B$29,B203,'Antelope Bailey Split BA'!$C$7:$C$29)</f>
        <v>0</v>
      </c>
      <c r="Q203" s="403" t="str">
        <f>IF(AND(P203=1,'Plant Total by Account'!$H$1=2),"EKWRA","")</f>
        <v/>
      </c>
      <c r="S203" s="403">
        <f>SUMIF('ISO w_System Splits'!$D$524:$D$615,B203,'ISO w_System Splits'!$P$524:$P$615)</f>
        <v>0</v>
      </c>
      <c r="T203" s="403" t="str">
        <f>IF(AND(S203&lt;&gt;0,'Plant Total by Account'!$H$1=2),"EKWRA TL Change","")</f>
        <v/>
      </c>
      <c r="V203" s="77">
        <v>8075</v>
      </c>
      <c r="W203" s="404">
        <f t="shared" si="19"/>
        <v>0</v>
      </c>
    </row>
    <row r="204" spans="1:23" ht="12.75" customHeight="1" x14ac:dyDescent="0.2">
      <c r="A204" s="386" t="s">
        <v>2522</v>
      </c>
      <c r="B204" s="398" t="s">
        <v>1215</v>
      </c>
      <c r="C204" s="398" t="s">
        <v>3329</v>
      </c>
      <c r="D204" s="399">
        <v>119512.70000000001</v>
      </c>
      <c r="E204" s="399">
        <v>1892018.84</v>
      </c>
      <c r="F204" s="399">
        <v>7507281.3000000026</v>
      </c>
      <c r="G204" s="524">
        <f t="shared" si="18"/>
        <v>9518812.8400000036</v>
      </c>
      <c r="H204" s="406"/>
      <c r="I204" s="407"/>
      <c r="J204" s="407"/>
      <c r="K204" s="406">
        <f t="shared" si="15"/>
        <v>119512.70000000001</v>
      </c>
      <c r="L204" s="406">
        <f t="shared" si="16"/>
        <v>1892018.84</v>
      </c>
      <c r="M204" s="406">
        <f t="shared" si="17"/>
        <v>7507281.3000000026</v>
      </c>
      <c r="N204" s="398" t="s">
        <v>3309</v>
      </c>
      <c r="O204" s="398"/>
      <c r="P204" s="403">
        <f>SUMIF('Antelope Bailey Split BA'!$B$7:$B$29,B204,'Antelope Bailey Split BA'!$C$7:$C$29)</f>
        <v>0</v>
      </c>
      <c r="Q204" s="403" t="str">
        <f>IF(AND(P204=1,'Plant Total by Account'!$H$1=2),"EKWRA","")</f>
        <v/>
      </c>
      <c r="S204" s="403">
        <f>SUMIF('ISO w_System Splits'!$D$524:$D$615,B204,'ISO w_System Splits'!$P$524:$P$615)</f>
        <v>0</v>
      </c>
      <c r="T204" s="403" t="str">
        <f>IF(AND(S204&lt;&gt;0,'Plant Total by Account'!$H$1=2),"EKWRA TL Change","")</f>
        <v/>
      </c>
      <c r="V204" s="77">
        <v>8078</v>
      </c>
      <c r="W204" s="404">
        <f t="shared" si="19"/>
        <v>0</v>
      </c>
    </row>
    <row r="205" spans="1:23" ht="12.75" customHeight="1" x14ac:dyDescent="0.2">
      <c r="A205" s="386" t="s">
        <v>2523</v>
      </c>
      <c r="B205" s="398" t="s">
        <v>806</v>
      </c>
      <c r="C205" s="398" t="s">
        <v>3329</v>
      </c>
      <c r="D205" s="399">
        <v>2879.82</v>
      </c>
      <c r="E205" s="399">
        <v>899534.78999999992</v>
      </c>
      <c r="F205" s="399">
        <v>8998399.7700000126</v>
      </c>
      <c r="G205" s="524">
        <f t="shared" si="18"/>
        <v>9900814.380000012</v>
      </c>
      <c r="H205" s="406"/>
      <c r="I205" s="407"/>
      <c r="J205" s="407"/>
      <c r="K205" s="406">
        <f t="shared" si="15"/>
        <v>2879.82</v>
      </c>
      <c r="L205" s="406">
        <f t="shared" si="16"/>
        <v>899534.78999999992</v>
      </c>
      <c r="M205" s="406">
        <f t="shared" si="17"/>
        <v>8998399.7700000126</v>
      </c>
      <c r="N205" s="398" t="s">
        <v>3309</v>
      </c>
      <c r="O205" s="398"/>
      <c r="P205" s="403">
        <f>SUMIF('Antelope Bailey Split BA'!$B$7:$B$29,B205,'Antelope Bailey Split BA'!$C$7:$C$29)</f>
        <v>0</v>
      </c>
      <c r="Q205" s="403" t="str">
        <f>IF(AND(P205=1,'Plant Total by Account'!$H$1=2),"EKWRA","")</f>
        <v/>
      </c>
      <c r="S205" s="403">
        <f>SUMIF('ISO w_System Splits'!$D$524:$D$615,B205,'ISO w_System Splits'!$P$524:$P$615)</f>
        <v>0</v>
      </c>
      <c r="T205" s="403" t="str">
        <f>IF(AND(S205&lt;&gt;0,'Plant Total by Account'!$H$1=2),"EKWRA TL Change","")</f>
        <v/>
      </c>
      <c r="V205" s="77">
        <v>8079</v>
      </c>
      <c r="W205" s="404">
        <f t="shared" si="19"/>
        <v>0</v>
      </c>
    </row>
    <row r="206" spans="1:23" ht="12.75" customHeight="1" x14ac:dyDescent="0.2">
      <c r="A206" s="386" t="s">
        <v>2524</v>
      </c>
      <c r="B206" s="398" t="s">
        <v>1216</v>
      </c>
      <c r="C206" s="398" t="s">
        <v>3329</v>
      </c>
      <c r="D206" s="399">
        <v>104923.45</v>
      </c>
      <c r="E206" s="399">
        <v>728129.53</v>
      </c>
      <c r="F206" s="399">
        <v>3792567.7899999991</v>
      </c>
      <c r="G206" s="524">
        <f t="shared" si="18"/>
        <v>4625620.7699999996</v>
      </c>
      <c r="H206" s="406"/>
      <c r="I206" s="407"/>
      <c r="J206" s="407"/>
      <c r="K206" s="406">
        <f t="shared" si="15"/>
        <v>104923.45</v>
      </c>
      <c r="L206" s="406">
        <f t="shared" si="16"/>
        <v>728129.53</v>
      </c>
      <c r="M206" s="406">
        <f t="shared" si="17"/>
        <v>3792567.7899999991</v>
      </c>
      <c r="N206" s="398" t="s">
        <v>3309</v>
      </c>
      <c r="O206" s="398"/>
      <c r="P206" s="403">
        <f>SUMIF('Antelope Bailey Split BA'!$B$7:$B$29,B206,'Antelope Bailey Split BA'!$C$7:$C$29)</f>
        <v>0</v>
      </c>
      <c r="Q206" s="403" t="str">
        <f>IF(AND(P206=1,'Plant Total by Account'!$H$1=2),"EKWRA","")</f>
        <v/>
      </c>
      <c r="S206" s="403">
        <f>SUMIF('ISO w_System Splits'!$D$524:$D$615,B206,'ISO w_System Splits'!$P$524:$P$615)</f>
        <v>0</v>
      </c>
      <c r="T206" s="403" t="str">
        <f>IF(AND(S206&lt;&gt;0,'Plant Total by Account'!$H$1=2),"EKWRA TL Change","")</f>
        <v/>
      </c>
      <c r="V206" s="77">
        <v>8081</v>
      </c>
      <c r="W206" s="404">
        <f t="shared" si="19"/>
        <v>0</v>
      </c>
    </row>
    <row r="207" spans="1:23" ht="12.75" customHeight="1" x14ac:dyDescent="0.2">
      <c r="A207" s="386" t="s">
        <v>2525</v>
      </c>
      <c r="B207" s="398" t="s">
        <v>1217</v>
      </c>
      <c r="C207" s="398" t="s">
        <v>3329</v>
      </c>
      <c r="D207" s="399">
        <v>161883.11000000002</v>
      </c>
      <c r="E207" s="399">
        <v>697945.07000000007</v>
      </c>
      <c r="F207" s="399">
        <v>4042356.7399999998</v>
      </c>
      <c r="G207" s="524">
        <f t="shared" si="18"/>
        <v>4902184.92</v>
      </c>
      <c r="H207" s="406"/>
      <c r="I207" s="407"/>
      <c r="J207" s="407"/>
      <c r="K207" s="406">
        <f t="shared" si="15"/>
        <v>161883.11000000002</v>
      </c>
      <c r="L207" s="406">
        <f t="shared" si="16"/>
        <v>697945.07000000007</v>
      </c>
      <c r="M207" s="406">
        <f t="shared" si="17"/>
        <v>4042356.7399999998</v>
      </c>
      <c r="N207" s="398" t="s">
        <v>3309</v>
      </c>
      <c r="O207" s="398"/>
      <c r="P207" s="403">
        <f>SUMIF('Antelope Bailey Split BA'!$B$7:$B$29,B207,'Antelope Bailey Split BA'!$C$7:$C$29)</f>
        <v>0</v>
      </c>
      <c r="Q207" s="403" t="str">
        <f>IF(AND(P207=1,'Plant Total by Account'!$H$1=2),"EKWRA","")</f>
        <v/>
      </c>
      <c r="S207" s="403">
        <f>SUMIF('ISO w_System Splits'!$D$524:$D$615,B207,'ISO w_System Splits'!$P$524:$P$615)</f>
        <v>0</v>
      </c>
      <c r="T207" s="403" t="str">
        <f>IF(AND(S207&lt;&gt;0,'Plant Total by Account'!$H$1=2),"EKWRA TL Change","")</f>
        <v/>
      </c>
      <c r="V207" s="77">
        <v>8082</v>
      </c>
      <c r="W207" s="404">
        <f t="shared" si="19"/>
        <v>0</v>
      </c>
    </row>
    <row r="208" spans="1:23" ht="12.75" customHeight="1" x14ac:dyDescent="0.2">
      <c r="A208" s="386" t="s">
        <v>2526</v>
      </c>
      <c r="B208" s="398" t="s">
        <v>1218</v>
      </c>
      <c r="C208" s="398" t="s">
        <v>3329</v>
      </c>
      <c r="D208" s="399">
        <v>25836.29</v>
      </c>
      <c r="E208" s="399">
        <v>244939.89</v>
      </c>
      <c r="F208" s="399">
        <v>8911697.3400000036</v>
      </c>
      <c r="G208" s="524">
        <f t="shared" si="18"/>
        <v>9182473.5200000033</v>
      </c>
      <c r="H208" s="406"/>
      <c r="I208" s="407"/>
      <c r="J208" s="407"/>
      <c r="K208" s="406">
        <f t="shared" si="15"/>
        <v>25836.29</v>
      </c>
      <c r="L208" s="406">
        <f t="shared" si="16"/>
        <v>244939.89</v>
      </c>
      <c r="M208" s="406">
        <f t="shared" si="17"/>
        <v>8911697.3400000036</v>
      </c>
      <c r="N208" s="398" t="s">
        <v>3309</v>
      </c>
      <c r="O208" s="398"/>
      <c r="P208" s="403">
        <f>SUMIF('Antelope Bailey Split BA'!$B$7:$B$29,B208,'Antelope Bailey Split BA'!$C$7:$C$29)</f>
        <v>0</v>
      </c>
      <c r="Q208" s="403" t="str">
        <f>IF(AND(P208=1,'Plant Total by Account'!$H$1=2),"EKWRA","")</f>
        <v/>
      </c>
      <c r="S208" s="403">
        <f>SUMIF('ISO w_System Splits'!$D$524:$D$615,B208,'ISO w_System Splits'!$P$524:$P$615)</f>
        <v>0</v>
      </c>
      <c r="T208" s="403" t="str">
        <f>IF(AND(S208&lt;&gt;0,'Plant Total by Account'!$H$1=2),"EKWRA TL Change","")</f>
        <v/>
      </c>
      <c r="V208" s="77">
        <v>8086</v>
      </c>
      <c r="W208" s="404">
        <f t="shared" si="19"/>
        <v>0</v>
      </c>
    </row>
    <row r="209" spans="1:23" ht="12.75" customHeight="1" x14ac:dyDescent="0.2">
      <c r="A209" s="386" t="s">
        <v>2527</v>
      </c>
      <c r="B209" s="398" t="s">
        <v>1219</v>
      </c>
      <c r="C209" s="398" t="s">
        <v>3329</v>
      </c>
      <c r="D209" s="399">
        <v>22150.39</v>
      </c>
      <c r="E209" s="399">
        <v>187186.91</v>
      </c>
      <c r="F209" s="399">
        <v>4382632.8999999976</v>
      </c>
      <c r="G209" s="524">
        <f t="shared" si="18"/>
        <v>4591970.1999999974</v>
      </c>
      <c r="H209" s="406"/>
      <c r="I209" s="407"/>
      <c r="J209" s="407"/>
      <c r="K209" s="406">
        <f t="shared" si="15"/>
        <v>22150.39</v>
      </c>
      <c r="L209" s="406">
        <f t="shared" si="16"/>
        <v>187186.91</v>
      </c>
      <c r="M209" s="406">
        <f t="shared" si="17"/>
        <v>4382632.8999999976</v>
      </c>
      <c r="N209" s="398" t="s">
        <v>3309</v>
      </c>
      <c r="O209" s="398"/>
      <c r="P209" s="403">
        <f>SUMIF('Antelope Bailey Split BA'!$B$7:$B$29,B209,'Antelope Bailey Split BA'!$C$7:$C$29)</f>
        <v>0</v>
      </c>
      <c r="Q209" s="403" t="str">
        <f>IF(AND(P209=1,'Plant Total by Account'!$H$1=2),"EKWRA","")</f>
        <v/>
      </c>
      <c r="S209" s="403">
        <f>SUMIF('ISO w_System Splits'!$D$524:$D$615,B209,'ISO w_System Splits'!$P$524:$P$615)</f>
        <v>0</v>
      </c>
      <c r="T209" s="403" t="str">
        <f>IF(AND(S209&lt;&gt;0,'Plant Total by Account'!$H$1=2),"EKWRA TL Change","")</f>
        <v/>
      </c>
      <c r="V209" s="77">
        <v>8087</v>
      </c>
      <c r="W209" s="404">
        <f t="shared" si="19"/>
        <v>0</v>
      </c>
    </row>
    <row r="210" spans="1:23" ht="12.75" customHeight="1" x14ac:dyDescent="0.2">
      <c r="A210" s="386" t="s">
        <v>2528</v>
      </c>
      <c r="B210" s="398" t="s">
        <v>1220</v>
      </c>
      <c r="C210" s="398" t="s">
        <v>3329</v>
      </c>
      <c r="D210" s="399">
        <v>81206</v>
      </c>
      <c r="E210" s="399">
        <v>295714.64</v>
      </c>
      <c r="F210" s="399">
        <v>9689962.3500000071</v>
      </c>
      <c r="G210" s="524">
        <f t="shared" si="18"/>
        <v>10066882.990000008</v>
      </c>
      <c r="H210" s="406"/>
      <c r="I210" s="407"/>
      <c r="J210" s="407"/>
      <c r="K210" s="406">
        <f t="shared" si="15"/>
        <v>81206</v>
      </c>
      <c r="L210" s="406">
        <f t="shared" si="16"/>
        <v>295714.64</v>
      </c>
      <c r="M210" s="406">
        <f t="shared" si="17"/>
        <v>9689962.3500000071</v>
      </c>
      <c r="N210" s="398" t="s">
        <v>3309</v>
      </c>
      <c r="O210" s="398"/>
      <c r="P210" s="403">
        <f>SUMIF('Antelope Bailey Split BA'!$B$7:$B$29,B210,'Antelope Bailey Split BA'!$C$7:$C$29)</f>
        <v>0</v>
      </c>
      <c r="Q210" s="403" t="str">
        <f>IF(AND(P210=1,'Plant Total by Account'!$H$1=2),"EKWRA","")</f>
        <v/>
      </c>
      <c r="S210" s="403">
        <f>SUMIF('ISO w_System Splits'!$D$524:$D$615,B210,'ISO w_System Splits'!$P$524:$P$615)</f>
        <v>0</v>
      </c>
      <c r="T210" s="403" t="str">
        <f>IF(AND(S210&lt;&gt;0,'Plant Total by Account'!$H$1=2),"EKWRA TL Change","")</f>
        <v/>
      </c>
      <c r="V210" s="77">
        <v>8088</v>
      </c>
      <c r="W210" s="404">
        <f t="shared" si="19"/>
        <v>0</v>
      </c>
    </row>
    <row r="211" spans="1:23" ht="12.75" customHeight="1" x14ac:dyDescent="0.2">
      <c r="A211" s="386" t="s">
        <v>2529</v>
      </c>
      <c r="B211" s="398" t="s">
        <v>1221</v>
      </c>
      <c r="C211" s="398" t="s">
        <v>3329</v>
      </c>
      <c r="D211" s="399">
        <v>23089.89</v>
      </c>
      <c r="E211" s="399">
        <v>257195.43000000002</v>
      </c>
      <c r="F211" s="399">
        <v>6177082.3199999966</v>
      </c>
      <c r="G211" s="524">
        <f t="shared" si="18"/>
        <v>6457367.6399999969</v>
      </c>
      <c r="H211" s="406"/>
      <c r="I211" s="407"/>
      <c r="J211" s="407"/>
      <c r="K211" s="406">
        <f t="shared" si="15"/>
        <v>23089.89</v>
      </c>
      <c r="L211" s="406">
        <f t="shared" si="16"/>
        <v>257195.43000000002</v>
      </c>
      <c r="M211" s="406">
        <f t="shared" si="17"/>
        <v>6177082.3199999966</v>
      </c>
      <c r="N211" s="398" t="s">
        <v>3309</v>
      </c>
      <c r="O211" s="398"/>
      <c r="P211" s="403">
        <f>SUMIF('Antelope Bailey Split BA'!$B$7:$B$29,B211,'Antelope Bailey Split BA'!$C$7:$C$29)</f>
        <v>0</v>
      </c>
      <c r="Q211" s="403" t="str">
        <f>IF(AND(P211=1,'Plant Total by Account'!$H$1=2),"EKWRA","")</f>
        <v/>
      </c>
      <c r="S211" s="403">
        <f>SUMIF('ISO w_System Splits'!$D$524:$D$615,B211,'ISO w_System Splits'!$P$524:$P$615)</f>
        <v>0</v>
      </c>
      <c r="T211" s="403" t="str">
        <f>IF(AND(S211&lt;&gt;0,'Plant Total by Account'!$H$1=2),"EKWRA TL Change","")</f>
        <v/>
      </c>
      <c r="V211" s="77">
        <v>8089</v>
      </c>
      <c r="W211" s="404">
        <f t="shared" si="19"/>
        <v>0</v>
      </c>
    </row>
    <row r="212" spans="1:23" ht="12.75" customHeight="1" x14ac:dyDescent="0.2">
      <c r="A212" s="386" t="s">
        <v>2530</v>
      </c>
      <c r="B212" s="398" t="s">
        <v>1222</v>
      </c>
      <c r="C212" s="398" t="s">
        <v>3329</v>
      </c>
      <c r="D212" s="399">
        <v>0</v>
      </c>
      <c r="E212" s="399">
        <v>0</v>
      </c>
      <c r="F212" s="399">
        <v>87113.34</v>
      </c>
      <c r="G212" s="524">
        <f t="shared" si="18"/>
        <v>87113.34</v>
      </c>
      <c r="H212" s="406"/>
      <c r="I212" s="407"/>
      <c r="J212" s="407"/>
      <c r="K212" s="406">
        <f t="shared" si="15"/>
        <v>0</v>
      </c>
      <c r="L212" s="406">
        <f t="shared" si="16"/>
        <v>0</v>
      </c>
      <c r="M212" s="406">
        <f t="shared" si="17"/>
        <v>87113.34</v>
      </c>
      <c r="N212" s="398" t="s">
        <v>3309</v>
      </c>
      <c r="O212" s="398"/>
      <c r="P212" s="403">
        <f>SUMIF('Antelope Bailey Split BA'!$B$7:$B$29,B212,'Antelope Bailey Split BA'!$C$7:$C$29)</f>
        <v>0</v>
      </c>
      <c r="Q212" s="403" t="str">
        <f>IF(AND(P212=1,'Plant Total by Account'!$H$1=2),"EKWRA","")</f>
        <v/>
      </c>
      <c r="S212" s="403">
        <f>SUMIF('ISO w_System Splits'!$D$524:$D$615,B212,'ISO w_System Splits'!$P$524:$P$615)</f>
        <v>0</v>
      </c>
      <c r="T212" s="403" t="str">
        <f>IF(AND(S212&lt;&gt;0,'Plant Total by Account'!$H$1=2),"EKWRA TL Change","")</f>
        <v/>
      </c>
      <c r="V212" s="77">
        <v>8090</v>
      </c>
      <c r="W212" s="404">
        <f t="shared" si="19"/>
        <v>0</v>
      </c>
    </row>
    <row r="213" spans="1:23" ht="12.75" customHeight="1" x14ac:dyDescent="0.2">
      <c r="A213" s="386" t="s">
        <v>2531</v>
      </c>
      <c r="B213" s="398" t="s">
        <v>1223</v>
      </c>
      <c r="C213" s="398" t="s">
        <v>3336</v>
      </c>
      <c r="D213" s="399">
        <v>0</v>
      </c>
      <c r="E213" s="399">
        <v>0</v>
      </c>
      <c r="F213" s="399">
        <v>15843.599999999999</v>
      </c>
      <c r="G213" s="524">
        <f t="shared" si="18"/>
        <v>15843.599999999999</v>
      </c>
      <c r="H213" s="406"/>
      <c r="I213" s="407"/>
      <c r="J213" s="407"/>
      <c r="K213" s="406">
        <f t="shared" si="15"/>
        <v>0</v>
      </c>
      <c r="L213" s="406">
        <f t="shared" si="16"/>
        <v>0</v>
      </c>
      <c r="M213" s="406">
        <f t="shared" si="17"/>
        <v>15843.599999999999</v>
      </c>
      <c r="N213" s="398" t="s">
        <v>3309</v>
      </c>
      <c r="O213" s="398"/>
      <c r="P213" s="403">
        <f>SUMIF('Antelope Bailey Split BA'!$B$7:$B$29,B213,'Antelope Bailey Split BA'!$C$7:$C$29)</f>
        <v>0</v>
      </c>
      <c r="Q213" s="403" t="str">
        <f>IF(AND(P213=1,'Plant Total by Account'!$H$1=2),"EKWRA","")</f>
        <v/>
      </c>
      <c r="S213" s="403">
        <f>SUMIF('ISO w_System Splits'!$D$524:$D$615,B213,'ISO w_System Splits'!$P$524:$P$615)</f>
        <v>0</v>
      </c>
      <c r="T213" s="403" t="str">
        <f>IF(AND(S213&lt;&gt;0,'Plant Total by Account'!$H$1=2),"EKWRA TL Change","")</f>
        <v/>
      </c>
      <c r="V213" s="77">
        <v>8091</v>
      </c>
      <c r="W213" s="404">
        <f t="shared" si="19"/>
        <v>0</v>
      </c>
    </row>
    <row r="214" spans="1:23" ht="12.75" customHeight="1" x14ac:dyDescent="0.2">
      <c r="A214" s="386" t="s">
        <v>2532</v>
      </c>
      <c r="B214" s="398" t="s">
        <v>1224</v>
      </c>
      <c r="C214" s="398" t="s">
        <v>3336</v>
      </c>
      <c r="D214" s="399">
        <v>0</v>
      </c>
      <c r="E214" s="399">
        <v>0</v>
      </c>
      <c r="F214" s="399">
        <v>6807.4800000000005</v>
      </c>
      <c r="G214" s="524">
        <f t="shared" si="18"/>
        <v>6807.4800000000005</v>
      </c>
      <c r="H214" s="406"/>
      <c r="I214" s="407"/>
      <c r="J214" s="407"/>
      <c r="K214" s="406">
        <f t="shared" si="15"/>
        <v>0</v>
      </c>
      <c r="L214" s="406">
        <f t="shared" si="16"/>
        <v>0</v>
      </c>
      <c r="M214" s="406">
        <f t="shared" si="17"/>
        <v>6807.4800000000005</v>
      </c>
      <c r="N214" s="398" t="s">
        <v>3309</v>
      </c>
      <c r="O214" s="398"/>
      <c r="P214" s="403">
        <f>SUMIF('Antelope Bailey Split BA'!$B$7:$B$29,B214,'Antelope Bailey Split BA'!$C$7:$C$29)</f>
        <v>0</v>
      </c>
      <c r="Q214" s="403" t="str">
        <f>IF(AND(P214=1,'Plant Total by Account'!$H$1=2),"EKWRA","")</f>
        <v/>
      </c>
      <c r="S214" s="403">
        <f>SUMIF('ISO w_System Splits'!$D$524:$D$615,B214,'ISO w_System Splits'!$P$524:$P$615)</f>
        <v>0</v>
      </c>
      <c r="T214" s="403" t="str">
        <f>IF(AND(S214&lt;&gt;0,'Plant Total by Account'!$H$1=2),"EKWRA TL Change","")</f>
        <v/>
      </c>
      <c r="V214" s="77">
        <v>8092</v>
      </c>
      <c r="W214" s="404">
        <f t="shared" si="19"/>
        <v>0</v>
      </c>
    </row>
    <row r="215" spans="1:23" ht="12.75" customHeight="1" x14ac:dyDescent="0.2">
      <c r="A215" s="386" t="s">
        <v>2533</v>
      </c>
      <c r="B215" s="398" t="s">
        <v>1225</v>
      </c>
      <c r="C215" s="398" t="s">
        <v>3329</v>
      </c>
      <c r="D215" s="399">
        <v>42272.47</v>
      </c>
      <c r="E215" s="399">
        <v>402055.04</v>
      </c>
      <c r="F215" s="399">
        <v>8394319.9699999969</v>
      </c>
      <c r="G215" s="524">
        <f t="shared" si="18"/>
        <v>8838647.4799999967</v>
      </c>
      <c r="H215" s="406"/>
      <c r="I215" s="407"/>
      <c r="J215" s="407"/>
      <c r="K215" s="406">
        <f t="shared" si="15"/>
        <v>42272.47</v>
      </c>
      <c r="L215" s="406">
        <f t="shared" si="16"/>
        <v>402055.04</v>
      </c>
      <c r="M215" s="406">
        <f t="shared" si="17"/>
        <v>8394319.9699999969</v>
      </c>
      <c r="N215" s="398" t="s">
        <v>3309</v>
      </c>
      <c r="O215" s="398"/>
      <c r="P215" s="403">
        <f>SUMIF('Antelope Bailey Split BA'!$B$7:$B$29,B215,'Antelope Bailey Split BA'!$C$7:$C$29)</f>
        <v>0</v>
      </c>
      <c r="Q215" s="403" t="str">
        <f>IF(AND(P215=1,'Plant Total by Account'!$H$1=2),"EKWRA","")</f>
        <v/>
      </c>
      <c r="S215" s="403">
        <f>SUMIF('ISO w_System Splits'!$D$524:$D$615,B215,'ISO w_System Splits'!$P$524:$P$615)</f>
        <v>0</v>
      </c>
      <c r="T215" s="403" t="str">
        <f>IF(AND(S215&lt;&gt;0,'Plant Total by Account'!$H$1=2),"EKWRA TL Change","")</f>
        <v/>
      </c>
      <c r="V215" s="77">
        <v>8093</v>
      </c>
      <c r="W215" s="404">
        <f t="shared" si="19"/>
        <v>0</v>
      </c>
    </row>
    <row r="216" spans="1:23" ht="12.75" customHeight="1" x14ac:dyDescent="0.2">
      <c r="A216" s="386" t="s">
        <v>2534</v>
      </c>
      <c r="B216" s="398" t="s">
        <v>1226</v>
      </c>
      <c r="C216" s="398" t="s">
        <v>3329</v>
      </c>
      <c r="D216" s="399">
        <v>0</v>
      </c>
      <c r="E216" s="399">
        <v>284370.70000000007</v>
      </c>
      <c r="F216" s="399">
        <v>4861490.1199999992</v>
      </c>
      <c r="G216" s="524">
        <f t="shared" si="18"/>
        <v>5145860.8199999994</v>
      </c>
      <c r="H216" s="406"/>
      <c r="I216" s="407"/>
      <c r="J216" s="407"/>
      <c r="K216" s="406">
        <f t="shared" si="15"/>
        <v>0</v>
      </c>
      <c r="L216" s="406">
        <f t="shared" si="16"/>
        <v>284370.70000000007</v>
      </c>
      <c r="M216" s="406">
        <f t="shared" si="17"/>
        <v>4861490.1199999992</v>
      </c>
      <c r="N216" s="398" t="s">
        <v>3309</v>
      </c>
      <c r="O216" s="398"/>
      <c r="P216" s="403">
        <f>SUMIF('Antelope Bailey Split BA'!$B$7:$B$29,B216,'Antelope Bailey Split BA'!$C$7:$C$29)</f>
        <v>0</v>
      </c>
      <c r="Q216" s="403" t="str">
        <f>IF(AND(P216=1,'Plant Total by Account'!$H$1=2),"EKWRA","")</f>
        <v/>
      </c>
      <c r="S216" s="403">
        <f>SUMIF('ISO w_System Splits'!$D$524:$D$615,B216,'ISO w_System Splits'!$P$524:$P$615)</f>
        <v>0</v>
      </c>
      <c r="T216" s="403" t="str">
        <f>IF(AND(S216&lt;&gt;0,'Plant Total by Account'!$H$1=2),"EKWRA TL Change","")</f>
        <v/>
      </c>
      <c r="V216" s="77">
        <v>8094</v>
      </c>
      <c r="W216" s="404">
        <f t="shared" si="19"/>
        <v>0</v>
      </c>
    </row>
    <row r="217" spans="1:23" ht="12.75" customHeight="1" x14ac:dyDescent="0.2">
      <c r="A217" s="386" t="s">
        <v>2535</v>
      </c>
      <c r="B217" s="398" t="s">
        <v>1227</v>
      </c>
      <c r="C217" s="398" t="s">
        <v>3329</v>
      </c>
      <c r="D217" s="399">
        <v>23492.670000000002</v>
      </c>
      <c r="E217" s="399">
        <v>294559.36000000004</v>
      </c>
      <c r="F217" s="399">
        <v>7294089.4900000021</v>
      </c>
      <c r="G217" s="524">
        <f t="shared" si="18"/>
        <v>7612141.5200000023</v>
      </c>
      <c r="H217" s="406"/>
      <c r="I217" s="407"/>
      <c r="J217" s="407"/>
      <c r="K217" s="406">
        <f t="shared" si="15"/>
        <v>23492.670000000002</v>
      </c>
      <c r="L217" s="406">
        <f t="shared" si="16"/>
        <v>294559.36000000004</v>
      </c>
      <c r="M217" s="406">
        <f t="shared" si="17"/>
        <v>7294089.4900000021</v>
      </c>
      <c r="N217" s="398" t="s">
        <v>3309</v>
      </c>
      <c r="O217" s="398"/>
      <c r="P217" s="403">
        <f>SUMIF('Antelope Bailey Split BA'!$B$7:$B$29,B217,'Antelope Bailey Split BA'!$C$7:$C$29)</f>
        <v>0</v>
      </c>
      <c r="Q217" s="403" t="str">
        <f>IF(AND(P217=1,'Plant Total by Account'!$H$1=2),"EKWRA","")</f>
        <v/>
      </c>
      <c r="S217" s="403">
        <f>SUMIF('ISO w_System Splits'!$D$524:$D$615,B217,'ISO w_System Splits'!$P$524:$P$615)</f>
        <v>0</v>
      </c>
      <c r="T217" s="403" t="str">
        <f>IF(AND(S217&lt;&gt;0,'Plant Total by Account'!$H$1=2),"EKWRA TL Change","")</f>
        <v/>
      </c>
      <c r="V217" s="77">
        <v>8095</v>
      </c>
      <c r="W217" s="404">
        <f t="shared" si="19"/>
        <v>0</v>
      </c>
    </row>
    <row r="218" spans="1:23" ht="12.75" customHeight="1" x14ac:dyDescent="0.2">
      <c r="A218" s="386" t="s">
        <v>2536</v>
      </c>
      <c r="B218" s="398" t="s">
        <v>807</v>
      </c>
      <c r="C218" s="398" t="s">
        <v>3329</v>
      </c>
      <c r="D218" s="399">
        <v>27809.47</v>
      </c>
      <c r="E218" s="399">
        <v>1576175.28</v>
      </c>
      <c r="F218" s="399">
        <v>9081338.049999997</v>
      </c>
      <c r="G218" s="523">
        <f t="shared" si="18"/>
        <v>10685322.799999997</v>
      </c>
      <c r="H218" s="406"/>
      <c r="I218" s="407"/>
      <c r="J218" s="407"/>
      <c r="K218" s="406">
        <f t="shared" si="15"/>
        <v>27809.47</v>
      </c>
      <c r="L218" s="406">
        <f t="shared" si="16"/>
        <v>1576175.28</v>
      </c>
      <c r="M218" s="406">
        <f t="shared" si="17"/>
        <v>9081338.049999997</v>
      </c>
      <c r="N218" s="398" t="s">
        <v>3309</v>
      </c>
      <c r="O218" s="398"/>
      <c r="P218" s="403">
        <f>SUMIF('Antelope Bailey Split BA'!$B$7:$B$29,B218,'Antelope Bailey Split BA'!$C$7:$C$29)</f>
        <v>0</v>
      </c>
      <c r="Q218" s="403" t="str">
        <f>IF(AND(P218=1,'Plant Total by Account'!$H$1=2),"EKWRA","")</f>
        <v/>
      </c>
      <c r="S218" s="403">
        <f>SUMIF('ISO w_System Splits'!$D$524:$D$615,B218,'ISO w_System Splits'!$P$524:$P$615)</f>
        <v>0</v>
      </c>
      <c r="T218" s="403" t="str">
        <f>IF(AND(S218&lt;&gt;0,'Plant Total by Account'!$H$1=2),"EKWRA TL Change","")</f>
        <v/>
      </c>
      <c r="V218" s="77">
        <v>8096</v>
      </c>
      <c r="W218" s="404">
        <f t="shared" si="19"/>
        <v>0</v>
      </c>
    </row>
    <row r="219" spans="1:23" ht="12.75" customHeight="1" x14ac:dyDescent="0.2">
      <c r="A219" s="386" t="s">
        <v>2537</v>
      </c>
      <c r="B219" s="398" t="s">
        <v>1228</v>
      </c>
      <c r="C219" s="398" t="s">
        <v>3329</v>
      </c>
      <c r="D219" s="399">
        <v>4912.76</v>
      </c>
      <c r="E219" s="399">
        <v>7283.74</v>
      </c>
      <c r="F219" s="399">
        <v>217755.20999999993</v>
      </c>
      <c r="G219" s="524">
        <f t="shared" si="18"/>
        <v>229951.70999999993</v>
      </c>
      <c r="H219" s="406"/>
      <c r="I219" s="407"/>
      <c r="J219" s="407"/>
      <c r="K219" s="406">
        <f t="shared" si="15"/>
        <v>4912.76</v>
      </c>
      <c r="L219" s="406">
        <f t="shared" si="16"/>
        <v>7283.74</v>
      </c>
      <c r="M219" s="406">
        <f t="shared" si="17"/>
        <v>217755.20999999993</v>
      </c>
      <c r="N219" s="398" t="s">
        <v>3309</v>
      </c>
      <c r="O219" s="398"/>
      <c r="P219" s="403">
        <f>SUMIF('Antelope Bailey Split BA'!$B$7:$B$29,B219,'Antelope Bailey Split BA'!$C$7:$C$29)</f>
        <v>0</v>
      </c>
      <c r="Q219" s="403" t="str">
        <f>IF(AND(P219=1,'Plant Total by Account'!$H$1=2),"EKWRA","")</f>
        <v/>
      </c>
      <c r="S219" s="403">
        <f>SUMIF('ISO w_System Splits'!$D$524:$D$615,B219,'ISO w_System Splits'!$P$524:$P$615)</f>
        <v>0</v>
      </c>
      <c r="T219" s="403" t="str">
        <f>IF(AND(S219&lt;&gt;0,'Plant Total by Account'!$H$1=2),"EKWRA TL Change","")</f>
        <v/>
      </c>
      <c r="V219" s="77">
        <v>8097</v>
      </c>
      <c r="W219" s="404">
        <f t="shared" si="19"/>
        <v>0</v>
      </c>
    </row>
    <row r="220" spans="1:23" ht="12.75" customHeight="1" x14ac:dyDescent="0.2">
      <c r="A220" s="386" t="s">
        <v>2538</v>
      </c>
      <c r="B220" s="398" t="s">
        <v>1229</v>
      </c>
      <c r="C220" s="398" t="s">
        <v>3329</v>
      </c>
      <c r="D220" s="399">
        <v>189886.25</v>
      </c>
      <c r="E220" s="399">
        <v>504358.57</v>
      </c>
      <c r="F220" s="399">
        <v>4923980.8099999987</v>
      </c>
      <c r="G220" s="524">
        <f t="shared" si="18"/>
        <v>5618225.629999999</v>
      </c>
      <c r="H220" s="406"/>
      <c r="I220" s="407"/>
      <c r="J220" s="407"/>
      <c r="K220" s="406">
        <f t="shared" si="15"/>
        <v>189886.25</v>
      </c>
      <c r="L220" s="406">
        <f t="shared" si="16"/>
        <v>504358.57</v>
      </c>
      <c r="M220" s="406">
        <f t="shared" si="17"/>
        <v>4923980.8099999987</v>
      </c>
      <c r="N220" s="398" t="s">
        <v>3309</v>
      </c>
      <c r="O220" s="398"/>
      <c r="P220" s="403">
        <f>SUMIF('Antelope Bailey Split BA'!$B$7:$B$29,B220,'Antelope Bailey Split BA'!$C$7:$C$29)</f>
        <v>0</v>
      </c>
      <c r="Q220" s="403" t="str">
        <f>IF(AND(P220=1,'Plant Total by Account'!$H$1=2),"EKWRA","")</f>
        <v/>
      </c>
      <c r="S220" s="403">
        <f>SUMIF('ISO w_System Splits'!$D$524:$D$615,B220,'ISO w_System Splits'!$P$524:$P$615)</f>
        <v>0</v>
      </c>
      <c r="T220" s="403" t="str">
        <f>IF(AND(S220&lt;&gt;0,'Plant Total by Account'!$H$1=2),"EKWRA TL Change","")</f>
        <v/>
      </c>
      <c r="V220" s="77">
        <v>8098</v>
      </c>
      <c r="W220" s="404">
        <f t="shared" si="19"/>
        <v>0</v>
      </c>
    </row>
    <row r="221" spans="1:23" ht="12.75" customHeight="1" x14ac:dyDescent="0.2">
      <c r="A221" s="386" t="s">
        <v>2539</v>
      </c>
      <c r="B221" s="398" t="s">
        <v>1230</v>
      </c>
      <c r="C221" s="398" t="s">
        <v>3329</v>
      </c>
      <c r="D221" s="399">
        <v>125966.68000000001</v>
      </c>
      <c r="E221" s="399">
        <v>363862.09</v>
      </c>
      <c r="F221" s="399">
        <v>11386602.769999996</v>
      </c>
      <c r="G221" s="524">
        <f t="shared" si="18"/>
        <v>11876431.539999995</v>
      </c>
      <c r="H221" s="406"/>
      <c r="I221" s="407"/>
      <c r="J221" s="407"/>
      <c r="K221" s="406">
        <f t="shared" si="15"/>
        <v>125966.68000000001</v>
      </c>
      <c r="L221" s="406">
        <f t="shared" si="16"/>
        <v>363862.09</v>
      </c>
      <c r="M221" s="406">
        <f t="shared" si="17"/>
        <v>11386602.769999996</v>
      </c>
      <c r="N221" s="398" t="s">
        <v>3309</v>
      </c>
      <c r="O221" s="398"/>
      <c r="P221" s="403">
        <f>SUMIF('Antelope Bailey Split BA'!$B$7:$B$29,B221,'Antelope Bailey Split BA'!$C$7:$C$29)</f>
        <v>0</v>
      </c>
      <c r="Q221" s="403" t="str">
        <f>IF(AND(P221=1,'Plant Total by Account'!$H$1=2),"EKWRA","")</f>
        <v/>
      </c>
      <c r="S221" s="403">
        <f>SUMIF('ISO w_System Splits'!$D$524:$D$615,B221,'ISO w_System Splits'!$P$524:$P$615)</f>
        <v>0</v>
      </c>
      <c r="T221" s="403" t="str">
        <f>IF(AND(S221&lt;&gt;0,'Plant Total by Account'!$H$1=2),"EKWRA TL Change","")</f>
        <v/>
      </c>
      <c r="V221" s="77">
        <v>8099</v>
      </c>
      <c r="W221" s="404">
        <f t="shared" si="19"/>
        <v>0</v>
      </c>
    </row>
    <row r="222" spans="1:23" ht="12.75" customHeight="1" x14ac:dyDescent="0.2">
      <c r="A222" s="386" t="s">
        <v>2540</v>
      </c>
      <c r="B222" s="398" t="s">
        <v>813</v>
      </c>
      <c r="C222" s="398" t="s">
        <v>3333</v>
      </c>
      <c r="D222" s="399">
        <v>0</v>
      </c>
      <c r="E222" s="399">
        <v>0</v>
      </c>
      <c r="F222" s="399">
        <v>59447.16</v>
      </c>
      <c r="G222" s="524">
        <f t="shared" si="18"/>
        <v>59447.16</v>
      </c>
      <c r="H222" s="406"/>
      <c r="I222" s="407"/>
      <c r="J222" s="407"/>
      <c r="K222" s="406">
        <f t="shared" si="15"/>
        <v>0</v>
      </c>
      <c r="L222" s="406">
        <f t="shared" si="16"/>
        <v>0</v>
      </c>
      <c r="M222" s="406">
        <f t="shared" si="17"/>
        <v>59447.16</v>
      </c>
      <c r="N222" s="398" t="s">
        <v>3309</v>
      </c>
      <c r="O222" s="398"/>
      <c r="P222" s="403">
        <f>SUMIF('Antelope Bailey Split BA'!$B$7:$B$29,B222,'Antelope Bailey Split BA'!$C$7:$C$29)</f>
        <v>0</v>
      </c>
      <c r="Q222" s="403" t="str">
        <f>IF(AND(P222=1,'Plant Total by Account'!$H$1=2),"EKWRA","")</f>
        <v/>
      </c>
      <c r="S222" s="403">
        <f>SUMIF('ISO w_System Splits'!$D$524:$D$615,B222,'ISO w_System Splits'!$P$524:$P$615)</f>
        <v>0</v>
      </c>
      <c r="T222" s="403" t="str">
        <f>IF(AND(S222&lt;&gt;0,'Plant Total by Account'!$H$1=2),"EKWRA TL Change","")</f>
        <v/>
      </c>
      <c r="V222" s="77">
        <v>8110</v>
      </c>
      <c r="W222" s="404">
        <f t="shared" si="19"/>
        <v>0</v>
      </c>
    </row>
    <row r="223" spans="1:23" ht="12.75" customHeight="1" x14ac:dyDescent="0.2">
      <c r="A223" s="386" t="s">
        <v>2541</v>
      </c>
      <c r="B223" s="398" t="s">
        <v>814</v>
      </c>
      <c r="C223" s="398" t="s">
        <v>3333</v>
      </c>
      <c r="D223" s="399">
        <v>0</v>
      </c>
      <c r="E223" s="399">
        <v>0</v>
      </c>
      <c r="F223" s="399">
        <v>551028.21</v>
      </c>
      <c r="G223" s="524">
        <f t="shared" si="18"/>
        <v>551028.21</v>
      </c>
      <c r="H223" s="406"/>
      <c r="I223" s="407"/>
      <c r="J223" s="407"/>
      <c r="K223" s="406">
        <f t="shared" si="15"/>
        <v>0</v>
      </c>
      <c r="L223" s="406">
        <f t="shared" si="16"/>
        <v>0</v>
      </c>
      <c r="M223" s="406">
        <f t="shared" si="17"/>
        <v>551028.21</v>
      </c>
      <c r="N223" s="398" t="s">
        <v>3309</v>
      </c>
      <c r="O223" s="398"/>
      <c r="P223" s="403">
        <f>SUMIF('Antelope Bailey Split BA'!$B$7:$B$29,B223,'Antelope Bailey Split BA'!$C$7:$C$29)</f>
        <v>0</v>
      </c>
      <c r="Q223" s="403" t="str">
        <f>IF(AND(P223=1,'Plant Total by Account'!$H$1=2),"EKWRA","")</f>
        <v/>
      </c>
      <c r="S223" s="403">
        <f>SUMIF('ISO w_System Splits'!$D$524:$D$615,B223,'ISO w_System Splits'!$P$524:$P$615)</f>
        <v>0</v>
      </c>
      <c r="T223" s="403" t="str">
        <f>IF(AND(S223&lt;&gt;0,'Plant Total by Account'!$H$1=2),"EKWRA TL Change","")</f>
        <v/>
      </c>
      <c r="V223" s="77">
        <v>8113</v>
      </c>
      <c r="W223" s="404">
        <f t="shared" si="19"/>
        <v>0</v>
      </c>
    </row>
    <row r="224" spans="1:23" ht="12.75" customHeight="1" x14ac:dyDescent="0.2">
      <c r="A224" s="386" t="s">
        <v>2542</v>
      </c>
      <c r="B224" s="398" t="s">
        <v>815</v>
      </c>
      <c r="C224" s="398" t="s">
        <v>3333</v>
      </c>
      <c r="D224" s="399">
        <v>0</v>
      </c>
      <c r="E224" s="399">
        <v>0</v>
      </c>
      <c r="F224" s="399">
        <v>6702.59</v>
      </c>
      <c r="G224" s="524">
        <f t="shared" si="18"/>
        <v>6702.59</v>
      </c>
      <c r="H224" s="406"/>
      <c r="I224" s="407"/>
      <c r="J224" s="407"/>
      <c r="K224" s="406">
        <f t="shared" si="15"/>
        <v>0</v>
      </c>
      <c r="L224" s="406">
        <f t="shared" si="16"/>
        <v>0</v>
      </c>
      <c r="M224" s="406">
        <f t="shared" si="17"/>
        <v>6702.59</v>
      </c>
      <c r="N224" s="398" t="s">
        <v>3309</v>
      </c>
      <c r="O224" s="398"/>
      <c r="P224" s="403">
        <f>SUMIF('Antelope Bailey Split BA'!$B$7:$B$29,B224,'Antelope Bailey Split BA'!$C$7:$C$29)</f>
        <v>0</v>
      </c>
      <c r="Q224" s="403" t="str">
        <f>IF(AND(P224=1,'Plant Total by Account'!$H$1=2),"EKWRA","")</f>
        <v/>
      </c>
      <c r="S224" s="403">
        <f>SUMIF('ISO w_System Splits'!$D$524:$D$615,B224,'ISO w_System Splits'!$P$524:$P$615)</f>
        <v>0</v>
      </c>
      <c r="T224" s="403" t="str">
        <f>IF(AND(S224&lt;&gt;0,'Plant Total by Account'!$H$1=2),"EKWRA TL Change","")</f>
        <v/>
      </c>
      <c r="V224" s="77">
        <v>8117</v>
      </c>
      <c r="W224" s="404">
        <f t="shared" si="19"/>
        <v>0</v>
      </c>
    </row>
    <row r="225" spans="1:23" ht="12.75" customHeight="1" x14ac:dyDescent="0.2">
      <c r="A225" s="386" t="s">
        <v>2543</v>
      </c>
      <c r="B225" s="398" t="s">
        <v>818</v>
      </c>
      <c r="C225" s="398" t="s">
        <v>3333</v>
      </c>
      <c r="D225" s="399">
        <v>0</v>
      </c>
      <c r="E225" s="399">
        <v>15598.210000000001</v>
      </c>
      <c r="F225" s="399">
        <v>0</v>
      </c>
      <c r="G225" s="524">
        <f t="shared" si="18"/>
        <v>15598.210000000001</v>
      </c>
      <c r="H225" s="406"/>
      <c r="I225" s="407"/>
      <c r="J225" s="407"/>
      <c r="K225" s="406">
        <f t="shared" si="15"/>
        <v>0</v>
      </c>
      <c r="L225" s="406">
        <f t="shared" si="16"/>
        <v>15598.210000000001</v>
      </c>
      <c r="M225" s="406">
        <f t="shared" si="17"/>
        <v>0</v>
      </c>
      <c r="N225" s="398" t="s">
        <v>3309</v>
      </c>
      <c r="O225" s="398"/>
      <c r="P225" s="403">
        <f>SUMIF('Antelope Bailey Split BA'!$B$7:$B$29,B225,'Antelope Bailey Split BA'!$C$7:$C$29)</f>
        <v>0</v>
      </c>
      <c r="Q225" s="403" t="str">
        <f>IF(AND(P225=1,'Plant Total by Account'!$H$1=2),"EKWRA","")</f>
        <v/>
      </c>
      <c r="S225" s="403">
        <f>SUMIF('ISO w_System Splits'!$D$524:$D$615,B225,'ISO w_System Splits'!$P$524:$P$615)</f>
        <v>0</v>
      </c>
      <c r="T225" s="403" t="str">
        <f>IF(AND(S225&lt;&gt;0,'Plant Total by Account'!$H$1=2),"EKWRA TL Change","")</f>
        <v/>
      </c>
      <c r="V225" s="77">
        <v>8120</v>
      </c>
      <c r="W225" s="404">
        <f t="shared" si="19"/>
        <v>0</v>
      </c>
    </row>
    <row r="226" spans="1:23" ht="12.75" customHeight="1" x14ac:dyDescent="0.2">
      <c r="A226" s="386" t="s">
        <v>2544</v>
      </c>
      <c r="B226" s="398" t="s">
        <v>822</v>
      </c>
      <c r="C226" s="398" t="s">
        <v>3333</v>
      </c>
      <c r="D226" s="399">
        <v>0</v>
      </c>
      <c r="E226" s="399">
        <v>6086.63</v>
      </c>
      <c r="F226" s="399">
        <v>0</v>
      </c>
      <c r="G226" s="524">
        <f t="shared" si="18"/>
        <v>6086.63</v>
      </c>
      <c r="H226" s="406"/>
      <c r="I226" s="407"/>
      <c r="J226" s="407"/>
      <c r="K226" s="406">
        <f t="shared" si="15"/>
        <v>0</v>
      </c>
      <c r="L226" s="406">
        <f t="shared" si="16"/>
        <v>6086.63</v>
      </c>
      <c r="M226" s="406">
        <f t="shared" si="17"/>
        <v>0</v>
      </c>
      <c r="N226" s="398" t="s">
        <v>3309</v>
      </c>
      <c r="O226" s="398"/>
      <c r="P226" s="403">
        <f>SUMIF('Antelope Bailey Split BA'!$B$7:$B$29,B226,'Antelope Bailey Split BA'!$C$7:$C$29)</f>
        <v>0</v>
      </c>
      <c r="Q226" s="403" t="str">
        <f>IF(AND(P226=1,'Plant Total by Account'!$H$1=2),"EKWRA","")</f>
        <v/>
      </c>
      <c r="S226" s="403">
        <f>SUMIF('ISO w_System Splits'!$D$524:$D$615,B226,'ISO w_System Splits'!$P$524:$P$615)</f>
        <v>0</v>
      </c>
      <c r="T226" s="403" t="str">
        <f>IF(AND(S226&lt;&gt;0,'Plant Total by Account'!$H$1=2),"EKWRA TL Change","")</f>
        <v/>
      </c>
      <c r="V226" s="77">
        <v>8124</v>
      </c>
      <c r="W226" s="404">
        <f t="shared" si="19"/>
        <v>0</v>
      </c>
    </row>
    <row r="227" spans="1:23" ht="12.75" customHeight="1" x14ac:dyDescent="0.2">
      <c r="A227" s="386" t="s">
        <v>2545</v>
      </c>
      <c r="B227" s="398" t="s">
        <v>848</v>
      </c>
      <c r="C227" s="398" t="s">
        <v>3333</v>
      </c>
      <c r="D227" s="399">
        <v>0</v>
      </c>
      <c r="E227" s="399">
        <v>0</v>
      </c>
      <c r="F227" s="399">
        <v>1963210.58</v>
      </c>
      <c r="G227" s="524">
        <f t="shared" si="18"/>
        <v>1963210.58</v>
      </c>
      <c r="H227" s="406"/>
      <c r="I227" s="407"/>
      <c r="J227" s="407"/>
      <c r="K227" s="406">
        <f t="shared" si="15"/>
        <v>0</v>
      </c>
      <c r="L227" s="406">
        <f t="shared" si="16"/>
        <v>0</v>
      </c>
      <c r="M227" s="406">
        <f t="shared" si="17"/>
        <v>1963210.58</v>
      </c>
      <c r="N227" s="398" t="s">
        <v>3309</v>
      </c>
      <c r="O227" s="398"/>
      <c r="P227" s="403">
        <f>SUMIF('Antelope Bailey Split BA'!$B$7:$B$29,B227,'Antelope Bailey Split BA'!$C$7:$C$29)</f>
        <v>0</v>
      </c>
      <c r="Q227" s="403" t="str">
        <f>IF(AND(P227=1,'Plant Total by Account'!$H$1=2),"EKWRA","")</f>
        <v/>
      </c>
      <c r="S227" s="403">
        <f>SUMIF('ISO w_System Splits'!$D$524:$D$615,B227,'ISO w_System Splits'!$P$524:$P$615)</f>
        <v>0</v>
      </c>
      <c r="T227" s="403" t="str">
        <f>IF(AND(S227&lt;&gt;0,'Plant Total by Account'!$H$1=2),"EKWRA TL Change","")</f>
        <v/>
      </c>
      <c r="V227" s="77">
        <v>8137</v>
      </c>
      <c r="W227" s="404">
        <f t="shared" si="19"/>
        <v>0</v>
      </c>
    </row>
    <row r="228" spans="1:23" ht="12.75" customHeight="1" x14ac:dyDescent="0.2">
      <c r="A228" s="386" t="s">
        <v>2546</v>
      </c>
      <c r="B228" s="398" t="s">
        <v>856</v>
      </c>
      <c r="C228" s="398" t="s">
        <v>3333</v>
      </c>
      <c r="D228" s="399">
        <v>0</v>
      </c>
      <c r="E228" s="399">
        <v>0</v>
      </c>
      <c r="F228" s="399">
        <v>35758.410000000003</v>
      </c>
      <c r="G228" s="524">
        <f t="shared" si="18"/>
        <v>35758.410000000003</v>
      </c>
      <c r="H228" s="406"/>
      <c r="I228" s="407"/>
      <c r="J228" s="407"/>
      <c r="K228" s="406">
        <f t="shared" ref="K228:K290" si="20">D228</f>
        <v>0</v>
      </c>
      <c r="L228" s="406">
        <f t="shared" ref="L228:L290" si="21">E228</f>
        <v>0</v>
      </c>
      <c r="M228" s="406">
        <f t="shared" ref="M228:M290" si="22">F228</f>
        <v>35758.410000000003</v>
      </c>
      <c r="N228" s="398" t="s">
        <v>3309</v>
      </c>
      <c r="O228" s="398"/>
      <c r="P228" s="403">
        <f>SUMIF('Antelope Bailey Split BA'!$B$7:$B$29,B228,'Antelope Bailey Split BA'!$C$7:$C$29)</f>
        <v>0</v>
      </c>
      <c r="Q228" s="403" t="str">
        <f>IF(AND(P228=1,'Plant Total by Account'!$H$1=2),"EKWRA","")</f>
        <v/>
      </c>
      <c r="S228" s="403">
        <f>SUMIF('ISO w_System Splits'!$D$524:$D$615,B228,'ISO w_System Splits'!$P$524:$P$615)</f>
        <v>0</v>
      </c>
      <c r="T228" s="403" t="str">
        <f>IF(AND(S228&lt;&gt;0,'Plant Total by Account'!$H$1=2),"EKWRA TL Change","")</f>
        <v/>
      </c>
      <c r="V228" s="77">
        <v>8152</v>
      </c>
      <c r="W228" s="404">
        <f t="shared" si="19"/>
        <v>0</v>
      </c>
    </row>
    <row r="229" spans="1:23" ht="12.75" customHeight="1" x14ac:dyDescent="0.2">
      <c r="A229" s="386" t="s">
        <v>2547</v>
      </c>
      <c r="B229" s="398" t="s">
        <v>863</v>
      </c>
      <c r="C229" s="398" t="s">
        <v>3333</v>
      </c>
      <c r="D229" s="399">
        <v>0</v>
      </c>
      <c r="E229" s="399">
        <v>15110.49</v>
      </c>
      <c r="F229" s="399">
        <v>59657.819999999992</v>
      </c>
      <c r="G229" s="524">
        <f t="shared" si="18"/>
        <v>74768.31</v>
      </c>
      <c r="H229" s="406"/>
      <c r="I229" s="407"/>
      <c r="J229" s="407"/>
      <c r="K229" s="406">
        <f t="shared" si="20"/>
        <v>0</v>
      </c>
      <c r="L229" s="406">
        <f t="shared" si="21"/>
        <v>15110.49</v>
      </c>
      <c r="M229" s="406">
        <f t="shared" si="22"/>
        <v>59657.819999999992</v>
      </c>
      <c r="N229" s="398" t="s">
        <v>3309</v>
      </c>
      <c r="O229" s="398"/>
      <c r="P229" s="403">
        <f>SUMIF('Antelope Bailey Split BA'!$B$7:$B$29,B229,'Antelope Bailey Split BA'!$C$7:$C$29)</f>
        <v>0</v>
      </c>
      <c r="Q229" s="403" t="str">
        <f>IF(AND(P229=1,'Plant Total by Account'!$H$1=2),"EKWRA","")</f>
        <v/>
      </c>
      <c r="S229" s="403">
        <f>SUMIF('ISO w_System Splits'!$D$524:$D$615,B229,'ISO w_System Splits'!$P$524:$P$615)</f>
        <v>0</v>
      </c>
      <c r="T229" s="403" t="str">
        <f>IF(AND(S229&lt;&gt;0,'Plant Total by Account'!$H$1=2),"EKWRA TL Change","")</f>
        <v/>
      </c>
      <c r="V229" s="77">
        <v>8163</v>
      </c>
      <c r="W229" s="404">
        <f t="shared" si="19"/>
        <v>0</v>
      </c>
    </row>
    <row r="230" spans="1:23" ht="12.75" customHeight="1" x14ac:dyDescent="0.2">
      <c r="A230" s="386" t="s">
        <v>2548</v>
      </c>
      <c r="B230" s="398" t="s">
        <v>865</v>
      </c>
      <c r="C230" s="398" t="s">
        <v>3333</v>
      </c>
      <c r="D230" s="399">
        <v>0</v>
      </c>
      <c r="E230" s="399">
        <v>0</v>
      </c>
      <c r="F230" s="399">
        <v>5532.86</v>
      </c>
      <c r="G230" s="524">
        <f t="shared" si="18"/>
        <v>5532.86</v>
      </c>
      <c r="H230" s="406"/>
      <c r="I230" s="407"/>
      <c r="J230" s="407"/>
      <c r="K230" s="406">
        <f t="shared" si="20"/>
        <v>0</v>
      </c>
      <c r="L230" s="406">
        <f t="shared" si="21"/>
        <v>0</v>
      </c>
      <c r="M230" s="406">
        <f t="shared" si="22"/>
        <v>5532.86</v>
      </c>
      <c r="N230" s="398" t="s">
        <v>3309</v>
      </c>
      <c r="O230" s="398"/>
      <c r="P230" s="403">
        <f>SUMIF('Antelope Bailey Split BA'!$B$7:$B$29,B230,'Antelope Bailey Split BA'!$C$7:$C$29)</f>
        <v>0</v>
      </c>
      <c r="Q230" s="403" t="str">
        <f>IF(AND(P230=1,'Plant Total by Account'!$H$1=2),"EKWRA","")</f>
        <v/>
      </c>
      <c r="S230" s="403">
        <f>SUMIF('ISO w_System Splits'!$D$524:$D$615,B230,'ISO w_System Splits'!$P$524:$P$615)</f>
        <v>0</v>
      </c>
      <c r="T230" s="403" t="str">
        <f>IF(AND(S230&lt;&gt;0,'Plant Total by Account'!$H$1=2),"EKWRA TL Change","")</f>
        <v/>
      </c>
      <c r="V230" s="77">
        <v>8167</v>
      </c>
      <c r="W230" s="404">
        <f t="shared" si="19"/>
        <v>0</v>
      </c>
    </row>
    <row r="231" spans="1:23" ht="12.75" customHeight="1" x14ac:dyDescent="0.2">
      <c r="A231" s="386" t="s">
        <v>2549</v>
      </c>
      <c r="B231" s="398" t="s">
        <v>866</v>
      </c>
      <c r="C231" s="398" t="s">
        <v>3333</v>
      </c>
      <c r="D231" s="399">
        <v>0</v>
      </c>
      <c r="E231" s="399">
        <v>0</v>
      </c>
      <c r="F231" s="399">
        <v>41486.03</v>
      </c>
      <c r="G231" s="524">
        <f t="shared" si="18"/>
        <v>41486.03</v>
      </c>
      <c r="H231" s="406"/>
      <c r="I231" s="407"/>
      <c r="J231" s="407"/>
      <c r="K231" s="406">
        <f t="shared" si="20"/>
        <v>0</v>
      </c>
      <c r="L231" s="406">
        <f t="shared" si="21"/>
        <v>0</v>
      </c>
      <c r="M231" s="406">
        <f t="shared" si="22"/>
        <v>41486.03</v>
      </c>
      <c r="N231" s="398" t="s">
        <v>3309</v>
      </c>
      <c r="O231" s="398"/>
      <c r="P231" s="403">
        <f>SUMIF('Antelope Bailey Split BA'!$B$7:$B$29,B231,'Antelope Bailey Split BA'!$C$7:$C$29)</f>
        <v>0</v>
      </c>
      <c r="Q231" s="403" t="str">
        <f>IF(AND(P231=1,'Plant Total by Account'!$H$1=2),"EKWRA","")</f>
        <v/>
      </c>
      <c r="S231" s="403">
        <f>SUMIF('ISO w_System Splits'!$D$524:$D$615,B231,'ISO w_System Splits'!$P$524:$P$615)</f>
        <v>0</v>
      </c>
      <c r="T231" s="403" t="str">
        <f>IF(AND(S231&lt;&gt;0,'Plant Total by Account'!$H$1=2),"EKWRA TL Change","")</f>
        <v/>
      </c>
      <c r="V231" s="77">
        <v>8168</v>
      </c>
      <c r="W231" s="404">
        <f t="shared" si="19"/>
        <v>0</v>
      </c>
    </row>
    <row r="232" spans="1:23" ht="12.75" customHeight="1" x14ac:dyDescent="0.2">
      <c r="A232" s="386" t="s">
        <v>2550</v>
      </c>
      <c r="B232" s="398" t="s">
        <v>871</v>
      </c>
      <c r="C232" s="398" t="s">
        <v>3333</v>
      </c>
      <c r="D232" s="399">
        <v>0</v>
      </c>
      <c r="E232" s="399">
        <v>0</v>
      </c>
      <c r="F232" s="399">
        <v>5724.72</v>
      </c>
      <c r="G232" s="524">
        <f t="shared" si="18"/>
        <v>5724.72</v>
      </c>
      <c r="H232" s="406"/>
      <c r="I232" s="407"/>
      <c r="J232" s="407"/>
      <c r="K232" s="406">
        <f t="shared" si="20"/>
        <v>0</v>
      </c>
      <c r="L232" s="406">
        <f t="shared" si="21"/>
        <v>0</v>
      </c>
      <c r="M232" s="406">
        <f t="shared" si="22"/>
        <v>5724.72</v>
      </c>
      <c r="N232" s="398" t="s">
        <v>3309</v>
      </c>
      <c r="O232" s="398"/>
      <c r="P232" s="403">
        <f>SUMIF('Antelope Bailey Split BA'!$B$7:$B$29,B232,'Antelope Bailey Split BA'!$C$7:$C$29)</f>
        <v>0</v>
      </c>
      <c r="Q232" s="403" t="str">
        <f>IF(AND(P232=1,'Plant Total by Account'!$H$1=2),"EKWRA","")</f>
        <v/>
      </c>
      <c r="S232" s="403">
        <f>SUMIF('ISO w_System Splits'!$D$524:$D$615,B232,'ISO w_System Splits'!$P$524:$P$615)</f>
        <v>0</v>
      </c>
      <c r="T232" s="403" t="str">
        <f>IF(AND(S232&lt;&gt;0,'Plant Total by Account'!$H$1=2),"EKWRA TL Change","")</f>
        <v/>
      </c>
      <c r="V232" s="77">
        <v>8190</v>
      </c>
      <c r="W232" s="404">
        <f t="shared" si="19"/>
        <v>0</v>
      </c>
    </row>
    <row r="233" spans="1:23" ht="12.75" customHeight="1" x14ac:dyDescent="0.2">
      <c r="A233" s="386" t="s">
        <v>2551</v>
      </c>
      <c r="B233" s="398" t="s">
        <v>872</v>
      </c>
      <c r="C233" s="398" t="s">
        <v>3333</v>
      </c>
      <c r="D233" s="399">
        <v>0</v>
      </c>
      <c r="E233" s="399">
        <v>16206.960000000001</v>
      </c>
      <c r="F233" s="399">
        <v>56358.19</v>
      </c>
      <c r="G233" s="524">
        <f t="shared" si="18"/>
        <v>72565.150000000009</v>
      </c>
      <c r="H233" s="406"/>
      <c r="I233" s="407"/>
      <c r="J233" s="407"/>
      <c r="K233" s="406">
        <f t="shared" si="20"/>
        <v>0</v>
      </c>
      <c r="L233" s="406">
        <f t="shared" si="21"/>
        <v>16206.960000000001</v>
      </c>
      <c r="M233" s="406">
        <f t="shared" si="22"/>
        <v>56358.19</v>
      </c>
      <c r="N233" s="398" t="s">
        <v>3309</v>
      </c>
      <c r="O233" s="398"/>
      <c r="P233" s="403">
        <f>SUMIF('Antelope Bailey Split BA'!$B$7:$B$29,B233,'Antelope Bailey Split BA'!$C$7:$C$29)</f>
        <v>0</v>
      </c>
      <c r="Q233" s="403" t="str">
        <f>IF(AND(P233=1,'Plant Total by Account'!$H$1=2),"EKWRA","")</f>
        <v/>
      </c>
      <c r="S233" s="403">
        <f>SUMIF('ISO w_System Splits'!$D$524:$D$615,B233,'ISO w_System Splits'!$P$524:$P$615)</f>
        <v>0</v>
      </c>
      <c r="T233" s="403" t="str">
        <f>IF(AND(S233&lt;&gt;0,'Plant Total by Account'!$H$1=2),"EKWRA TL Change","")</f>
        <v/>
      </c>
      <c r="V233" s="77">
        <v>8193</v>
      </c>
      <c r="W233" s="404">
        <f t="shared" si="19"/>
        <v>0</v>
      </c>
    </row>
    <row r="234" spans="1:23" ht="12.75" customHeight="1" x14ac:dyDescent="0.2">
      <c r="A234" s="386" t="s">
        <v>2552</v>
      </c>
      <c r="B234" s="398" t="s">
        <v>873</v>
      </c>
      <c r="C234" s="398" t="s">
        <v>3333</v>
      </c>
      <c r="D234" s="399">
        <v>0</v>
      </c>
      <c r="E234" s="399">
        <v>0</v>
      </c>
      <c r="F234" s="399">
        <v>21179.71</v>
      </c>
      <c r="G234" s="524">
        <f t="shared" si="18"/>
        <v>21179.71</v>
      </c>
      <c r="H234" s="406"/>
      <c r="I234" s="407"/>
      <c r="J234" s="407"/>
      <c r="K234" s="406">
        <f t="shared" si="20"/>
        <v>0</v>
      </c>
      <c r="L234" s="406">
        <f t="shared" si="21"/>
        <v>0</v>
      </c>
      <c r="M234" s="406">
        <f t="shared" si="22"/>
        <v>21179.71</v>
      </c>
      <c r="N234" s="398" t="s">
        <v>3309</v>
      </c>
      <c r="O234" s="398"/>
      <c r="P234" s="403">
        <f>SUMIF('Antelope Bailey Split BA'!$B$7:$B$29,B234,'Antelope Bailey Split BA'!$C$7:$C$29)</f>
        <v>0</v>
      </c>
      <c r="Q234" s="403" t="str">
        <f>IF(AND(P234=1,'Plant Total by Account'!$H$1=2),"EKWRA","")</f>
        <v/>
      </c>
      <c r="S234" s="403">
        <f>SUMIF('ISO w_System Splits'!$D$524:$D$615,B234,'ISO w_System Splits'!$P$524:$P$615)</f>
        <v>0</v>
      </c>
      <c r="T234" s="403" t="str">
        <f>IF(AND(S234&lt;&gt;0,'Plant Total by Account'!$H$1=2),"EKWRA TL Change","")</f>
        <v/>
      </c>
      <c r="V234" s="77">
        <v>8195</v>
      </c>
      <c r="W234" s="404">
        <f t="shared" si="19"/>
        <v>0</v>
      </c>
    </row>
    <row r="235" spans="1:23" ht="12.75" customHeight="1" x14ac:dyDescent="0.2">
      <c r="A235" s="386" t="s">
        <v>2553</v>
      </c>
      <c r="B235" s="398" t="s">
        <v>874</v>
      </c>
      <c r="C235" s="398" t="s">
        <v>3333</v>
      </c>
      <c r="D235" s="399">
        <v>1616115.09</v>
      </c>
      <c r="E235" s="399">
        <v>0</v>
      </c>
      <c r="F235" s="399">
        <v>0</v>
      </c>
      <c r="G235" s="524">
        <f t="shared" si="18"/>
        <v>1616115.09</v>
      </c>
      <c r="H235" s="406"/>
      <c r="I235" s="407"/>
      <c r="J235" s="407"/>
      <c r="K235" s="406">
        <f t="shared" si="20"/>
        <v>1616115.09</v>
      </c>
      <c r="L235" s="406">
        <f t="shared" si="21"/>
        <v>0</v>
      </c>
      <c r="M235" s="406">
        <f t="shared" si="22"/>
        <v>0</v>
      </c>
      <c r="N235" s="398" t="s">
        <v>3309</v>
      </c>
      <c r="O235" s="398"/>
      <c r="P235" s="403">
        <f>SUMIF('Antelope Bailey Split BA'!$B$7:$B$29,B235,'Antelope Bailey Split BA'!$C$7:$C$29)</f>
        <v>0</v>
      </c>
      <c r="Q235" s="403" t="str">
        <f>IF(AND(P235=1,'Plant Total by Account'!$H$1=2),"EKWRA","")</f>
        <v/>
      </c>
      <c r="S235" s="403">
        <f>SUMIF('ISO w_System Splits'!$D$524:$D$615,B235,'ISO w_System Splits'!$P$524:$P$615)</f>
        <v>0</v>
      </c>
      <c r="T235" s="403" t="str">
        <f>IF(AND(S235&lt;&gt;0,'Plant Total by Account'!$H$1=2),"EKWRA TL Change","")</f>
        <v/>
      </c>
      <c r="V235" s="77">
        <v>8196</v>
      </c>
      <c r="W235" s="404">
        <f t="shared" si="19"/>
        <v>0</v>
      </c>
    </row>
    <row r="236" spans="1:23" ht="12.75" customHeight="1" x14ac:dyDescent="0.2">
      <c r="A236" s="386" t="s">
        <v>2554</v>
      </c>
      <c r="B236" s="398" t="s">
        <v>875</v>
      </c>
      <c r="C236" s="398" t="s">
        <v>3329</v>
      </c>
      <c r="D236" s="399">
        <v>0</v>
      </c>
      <c r="E236" s="399">
        <v>0</v>
      </c>
      <c r="F236" s="399">
        <v>939381.34000000008</v>
      </c>
      <c r="G236" s="524">
        <f t="shared" si="18"/>
        <v>939381.34000000008</v>
      </c>
      <c r="H236" s="406"/>
      <c r="I236" s="407"/>
      <c r="J236" s="407"/>
      <c r="K236" s="406">
        <f t="shared" si="20"/>
        <v>0</v>
      </c>
      <c r="L236" s="406">
        <f t="shared" si="21"/>
        <v>0</v>
      </c>
      <c r="M236" s="406">
        <f t="shared" si="22"/>
        <v>939381.34000000008</v>
      </c>
      <c r="N236" s="398" t="s">
        <v>3309</v>
      </c>
      <c r="O236" s="398"/>
      <c r="P236" s="403">
        <f>SUMIF('Antelope Bailey Split BA'!$B$7:$B$29,B236,'Antelope Bailey Split BA'!$C$7:$C$29)</f>
        <v>0</v>
      </c>
      <c r="Q236" s="403" t="str">
        <f>IF(AND(P236=1,'Plant Total by Account'!$H$1=2),"EKWRA","")</f>
        <v/>
      </c>
      <c r="S236" s="403">
        <f>SUMIF('ISO w_System Splits'!$D$524:$D$615,B236,'ISO w_System Splits'!$P$524:$P$615)</f>
        <v>0</v>
      </c>
      <c r="T236" s="403" t="str">
        <f>IF(AND(S236&lt;&gt;0,'Plant Total by Account'!$H$1=2),"EKWRA TL Change","")</f>
        <v/>
      </c>
      <c r="V236" s="77">
        <v>8197</v>
      </c>
      <c r="W236" s="404">
        <f t="shared" si="19"/>
        <v>0</v>
      </c>
    </row>
    <row r="237" spans="1:23" ht="12.75" customHeight="1" x14ac:dyDescent="0.2">
      <c r="A237" s="386" t="s">
        <v>2555</v>
      </c>
      <c r="B237" s="398" t="s">
        <v>876</v>
      </c>
      <c r="C237" s="398" t="s">
        <v>3333</v>
      </c>
      <c r="D237" s="399">
        <v>0</v>
      </c>
      <c r="E237" s="399">
        <v>0</v>
      </c>
      <c r="F237" s="399">
        <v>132415.95000000001</v>
      </c>
      <c r="G237" s="524">
        <f t="shared" si="18"/>
        <v>132415.95000000001</v>
      </c>
      <c r="H237" s="406"/>
      <c r="I237" s="407"/>
      <c r="J237" s="407"/>
      <c r="K237" s="406">
        <f t="shared" si="20"/>
        <v>0</v>
      </c>
      <c r="L237" s="406">
        <f t="shared" si="21"/>
        <v>0</v>
      </c>
      <c r="M237" s="406">
        <f t="shared" si="22"/>
        <v>132415.95000000001</v>
      </c>
      <c r="N237" s="398" t="s">
        <v>3309</v>
      </c>
      <c r="O237" s="398"/>
      <c r="P237" s="403">
        <f>SUMIF('Antelope Bailey Split BA'!$B$7:$B$29,B237,'Antelope Bailey Split BA'!$C$7:$C$29)</f>
        <v>0</v>
      </c>
      <c r="Q237" s="403" t="str">
        <f>IF(AND(P237=1,'Plant Total by Account'!$H$1=2),"EKWRA","")</f>
        <v/>
      </c>
      <c r="S237" s="403">
        <f>SUMIF('ISO w_System Splits'!$D$524:$D$615,B237,'ISO w_System Splits'!$P$524:$P$615)</f>
        <v>0</v>
      </c>
      <c r="T237" s="403" t="str">
        <f>IF(AND(S237&lt;&gt;0,'Plant Total by Account'!$H$1=2),"EKWRA TL Change","")</f>
        <v/>
      </c>
      <c r="V237" s="77">
        <v>8198</v>
      </c>
      <c r="W237" s="404">
        <f t="shared" si="19"/>
        <v>0</v>
      </c>
    </row>
    <row r="238" spans="1:23" ht="12.75" customHeight="1" x14ac:dyDescent="0.2">
      <c r="A238" s="386" t="s">
        <v>2556</v>
      </c>
      <c r="B238" s="398" t="s">
        <v>878</v>
      </c>
      <c r="C238" s="398" t="s">
        <v>3333</v>
      </c>
      <c r="D238" s="399">
        <v>0</v>
      </c>
      <c r="E238" s="399">
        <v>19231.990000000002</v>
      </c>
      <c r="F238" s="399">
        <v>0</v>
      </c>
      <c r="G238" s="524">
        <f t="shared" si="18"/>
        <v>19231.990000000002</v>
      </c>
      <c r="H238" s="406"/>
      <c r="I238" s="407"/>
      <c r="J238" s="407"/>
      <c r="K238" s="406">
        <f t="shared" si="20"/>
        <v>0</v>
      </c>
      <c r="L238" s="406">
        <f t="shared" si="21"/>
        <v>19231.990000000002</v>
      </c>
      <c r="M238" s="406">
        <f t="shared" si="22"/>
        <v>0</v>
      </c>
      <c r="N238" s="398" t="s">
        <v>3309</v>
      </c>
      <c r="O238" s="398"/>
      <c r="P238" s="403">
        <f>SUMIF('Antelope Bailey Split BA'!$B$7:$B$29,B238,'Antelope Bailey Split BA'!$C$7:$C$29)</f>
        <v>0</v>
      </c>
      <c r="Q238" s="403" t="str">
        <f>IF(AND(P238=1,'Plant Total by Account'!$H$1=2),"EKWRA","")</f>
        <v/>
      </c>
      <c r="S238" s="403">
        <f>SUMIF('ISO w_System Splits'!$D$524:$D$615,B238,'ISO w_System Splits'!$P$524:$P$615)</f>
        <v>0</v>
      </c>
      <c r="T238" s="403" t="str">
        <f>IF(AND(S238&lt;&gt;0,'Plant Total by Account'!$H$1=2),"EKWRA TL Change","")</f>
        <v/>
      </c>
      <c r="V238" s="77">
        <v>8204</v>
      </c>
      <c r="W238" s="404">
        <f t="shared" si="19"/>
        <v>0</v>
      </c>
    </row>
    <row r="239" spans="1:23" ht="12.75" customHeight="1" x14ac:dyDescent="0.2">
      <c r="A239" s="386" t="s">
        <v>2557</v>
      </c>
      <c r="B239" s="398" t="s">
        <v>884</v>
      </c>
      <c r="C239" s="398" t="s">
        <v>3333</v>
      </c>
      <c r="D239" s="399">
        <v>0</v>
      </c>
      <c r="E239" s="399">
        <v>0</v>
      </c>
      <c r="F239" s="399">
        <v>5578.2300000000005</v>
      </c>
      <c r="G239" s="524">
        <f t="shared" si="18"/>
        <v>5578.2300000000005</v>
      </c>
      <c r="H239" s="406"/>
      <c r="I239" s="407"/>
      <c r="J239" s="407"/>
      <c r="K239" s="406">
        <f t="shared" si="20"/>
        <v>0</v>
      </c>
      <c r="L239" s="406">
        <f t="shared" si="21"/>
        <v>0</v>
      </c>
      <c r="M239" s="406">
        <f t="shared" si="22"/>
        <v>5578.2300000000005</v>
      </c>
      <c r="N239" s="398" t="s">
        <v>3309</v>
      </c>
      <c r="O239" s="398"/>
      <c r="P239" s="403">
        <f>SUMIF('Antelope Bailey Split BA'!$B$7:$B$29,B239,'Antelope Bailey Split BA'!$C$7:$C$29)</f>
        <v>0</v>
      </c>
      <c r="Q239" s="403" t="str">
        <f>IF(AND(P239=1,'Plant Total by Account'!$H$1=2),"EKWRA","")</f>
        <v/>
      </c>
      <c r="S239" s="403">
        <f>SUMIF('ISO w_System Splits'!$D$524:$D$615,B239,'ISO w_System Splits'!$P$524:$P$615)</f>
        <v>0</v>
      </c>
      <c r="T239" s="403" t="str">
        <f>IF(AND(S239&lt;&gt;0,'Plant Total by Account'!$H$1=2),"EKWRA TL Change","")</f>
        <v/>
      </c>
      <c r="V239" s="77">
        <v>8211</v>
      </c>
      <c r="W239" s="404">
        <f t="shared" si="19"/>
        <v>0</v>
      </c>
    </row>
    <row r="240" spans="1:23" ht="12.75" customHeight="1" x14ac:dyDescent="0.2">
      <c r="A240" s="386" t="s">
        <v>2558</v>
      </c>
      <c r="B240" s="398" t="s">
        <v>886</v>
      </c>
      <c r="C240" s="398" t="s">
        <v>3333</v>
      </c>
      <c r="D240" s="399">
        <v>0</v>
      </c>
      <c r="E240" s="399">
        <v>30643.760000000002</v>
      </c>
      <c r="F240" s="399">
        <v>0</v>
      </c>
      <c r="G240" s="524">
        <f t="shared" si="18"/>
        <v>30643.760000000002</v>
      </c>
      <c r="H240" s="406"/>
      <c r="I240" s="407"/>
      <c r="J240" s="407"/>
      <c r="K240" s="406">
        <f t="shared" si="20"/>
        <v>0</v>
      </c>
      <c r="L240" s="406">
        <f t="shared" si="21"/>
        <v>30643.760000000002</v>
      </c>
      <c r="M240" s="406">
        <f t="shared" si="22"/>
        <v>0</v>
      </c>
      <c r="N240" s="398" t="s">
        <v>3309</v>
      </c>
      <c r="O240" s="398"/>
      <c r="P240" s="403">
        <f>SUMIF('Antelope Bailey Split BA'!$B$7:$B$29,B240,'Antelope Bailey Split BA'!$C$7:$C$29)</f>
        <v>0</v>
      </c>
      <c r="Q240" s="403" t="str">
        <f>IF(AND(P240=1,'Plant Total by Account'!$H$1=2),"EKWRA","")</f>
        <v/>
      </c>
      <c r="S240" s="403">
        <f>SUMIF('ISO w_System Splits'!$D$524:$D$615,B240,'ISO w_System Splits'!$P$524:$P$615)</f>
        <v>0</v>
      </c>
      <c r="T240" s="403" t="str">
        <f>IF(AND(S240&lt;&gt;0,'Plant Total by Account'!$H$1=2),"EKWRA TL Change","")</f>
        <v/>
      </c>
      <c r="V240" s="77">
        <v>8214</v>
      </c>
      <c r="W240" s="404">
        <f t="shared" si="19"/>
        <v>0</v>
      </c>
    </row>
    <row r="241" spans="1:23" ht="12.75" customHeight="1" x14ac:dyDescent="0.2">
      <c r="A241" s="386" t="s">
        <v>2559</v>
      </c>
      <c r="B241" s="398" t="s">
        <v>895</v>
      </c>
      <c r="C241" s="398" t="s">
        <v>3333</v>
      </c>
      <c r="D241" s="399">
        <v>0</v>
      </c>
      <c r="E241" s="399">
        <v>6271.88</v>
      </c>
      <c r="F241" s="399">
        <v>0</v>
      </c>
      <c r="G241" s="524">
        <f t="shared" si="18"/>
        <v>6271.88</v>
      </c>
      <c r="H241" s="406"/>
      <c r="I241" s="407"/>
      <c r="J241" s="407"/>
      <c r="K241" s="406">
        <f t="shared" si="20"/>
        <v>0</v>
      </c>
      <c r="L241" s="406">
        <f t="shared" si="21"/>
        <v>6271.88</v>
      </c>
      <c r="M241" s="406">
        <f t="shared" si="22"/>
        <v>0</v>
      </c>
      <c r="N241" s="398" t="s">
        <v>3309</v>
      </c>
      <c r="O241" s="398"/>
      <c r="P241" s="403">
        <f>SUMIF('Antelope Bailey Split BA'!$B$7:$B$29,B241,'Antelope Bailey Split BA'!$C$7:$C$29)</f>
        <v>0</v>
      </c>
      <c r="Q241" s="403" t="str">
        <f>IF(AND(P241=1,'Plant Total by Account'!$H$1=2),"EKWRA","")</f>
        <v/>
      </c>
      <c r="S241" s="403">
        <f>SUMIF('ISO w_System Splits'!$D$524:$D$615,B241,'ISO w_System Splits'!$P$524:$P$615)</f>
        <v>0</v>
      </c>
      <c r="T241" s="403" t="str">
        <f>IF(AND(S241&lt;&gt;0,'Plant Total by Account'!$H$1=2),"EKWRA TL Change","")</f>
        <v/>
      </c>
      <c r="V241" s="77">
        <v>8220</v>
      </c>
      <c r="W241" s="404">
        <f t="shared" si="19"/>
        <v>0</v>
      </c>
    </row>
    <row r="242" spans="1:23" ht="12.75" customHeight="1" x14ac:dyDescent="0.2">
      <c r="A242" s="386" t="s">
        <v>2560</v>
      </c>
      <c r="B242" s="398" t="s">
        <v>897</v>
      </c>
      <c r="C242" s="398" t="s">
        <v>3333</v>
      </c>
      <c r="D242" s="399">
        <v>0</v>
      </c>
      <c r="E242" s="399">
        <v>0</v>
      </c>
      <c r="F242" s="399">
        <v>2106.5300000000002</v>
      </c>
      <c r="G242" s="524">
        <f t="shared" si="18"/>
        <v>2106.5300000000002</v>
      </c>
      <c r="H242" s="406"/>
      <c r="I242" s="407"/>
      <c r="J242" s="407"/>
      <c r="K242" s="406">
        <f t="shared" si="20"/>
        <v>0</v>
      </c>
      <c r="L242" s="406">
        <f t="shared" si="21"/>
        <v>0</v>
      </c>
      <c r="M242" s="406">
        <f t="shared" si="22"/>
        <v>2106.5300000000002</v>
      </c>
      <c r="N242" s="398" t="s">
        <v>3309</v>
      </c>
      <c r="O242" s="398"/>
      <c r="P242" s="403">
        <f>SUMIF('Antelope Bailey Split BA'!$B$7:$B$29,B242,'Antelope Bailey Split BA'!$C$7:$C$29)</f>
        <v>0</v>
      </c>
      <c r="Q242" s="403" t="str">
        <f>IF(AND(P242=1,'Plant Total by Account'!$H$1=2),"EKWRA","")</f>
        <v/>
      </c>
      <c r="S242" s="403">
        <f>SUMIF('ISO w_System Splits'!$D$524:$D$615,B242,'ISO w_System Splits'!$P$524:$P$615)</f>
        <v>0</v>
      </c>
      <c r="T242" s="403" t="str">
        <f>IF(AND(S242&lt;&gt;0,'Plant Total by Account'!$H$1=2),"EKWRA TL Change","")</f>
        <v/>
      </c>
      <c r="V242" s="77">
        <v>8222</v>
      </c>
      <c r="W242" s="404">
        <f t="shared" si="19"/>
        <v>0</v>
      </c>
    </row>
    <row r="243" spans="1:23" ht="12.75" customHeight="1" x14ac:dyDescent="0.2">
      <c r="A243" s="386" t="s">
        <v>2561</v>
      </c>
      <c r="B243" s="398" t="s">
        <v>898</v>
      </c>
      <c r="C243" s="398" t="s">
        <v>3333</v>
      </c>
      <c r="D243" s="399">
        <v>0</v>
      </c>
      <c r="E243" s="399">
        <v>17025.73</v>
      </c>
      <c r="F243" s="399">
        <v>30776.309999999998</v>
      </c>
      <c r="G243" s="524">
        <f t="shared" si="18"/>
        <v>47802.039999999994</v>
      </c>
      <c r="H243" s="406"/>
      <c r="I243" s="407"/>
      <c r="J243" s="407"/>
      <c r="K243" s="406">
        <f t="shared" si="20"/>
        <v>0</v>
      </c>
      <c r="L243" s="406">
        <f t="shared" si="21"/>
        <v>17025.73</v>
      </c>
      <c r="M243" s="406">
        <f t="shared" si="22"/>
        <v>30776.309999999998</v>
      </c>
      <c r="N243" s="398" t="s">
        <v>3309</v>
      </c>
      <c r="O243" s="398"/>
      <c r="P243" s="403">
        <f>SUMIF('Antelope Bailey Split BA'!$B$7:$B$29,B243,'Antelope Bailey Split BA'!$C$7:$C$29)</f>
        <v>0</v>
      </c>
      <c r="Q243" s="403" t="str">
        <f>IF(AND(P243=1,'Plant Total by Account'!$H$1=2),"EKWRA","")</f>
        <v/>
      </c>
      <c r="S243" s="403">
        <f>SUMIF('ISO w_System Splits'!$D$524:$D$615,B243,'ISO w_System Splits'!$P$524:$P$615)</f>
        <v>0</v>
      </c>
      <c r="T243" s="403" t="str">
        <f>IF(AND(S243&lt;&gt;0,'Plant Total by Account'!$H$1=2),"EKWRA TL Change","")</f>
        <v/>
      </c>
      <c r="V243" s="77">
        <v>8225</v>
      </c>
      <c r="W243" s="404">
        <f t="shared" si="19"/>
        <v>0</v>
      </c>
    </row>
    <row r="244" spans="1:23" ht="12.75" customHeight="1" x14ac:dyDescent="0.2">
      <c r="A244" s="386" t="s">
        <v>2562</v>
      </c>
      <c r="B244" s="398" t="s">
        <v>899</v>
      </c>
      <c r="C244" s="398" t="s">
        <v>3333</v>
      </c>
      <c r="D244" s="399">
        <v>0</v>
      </c>
      <c r="E244" s="399">
        <v>0</v>
      </c>
      <c r="F244" s="399">
        <v>17438.310000000001</v>
      </c>
      <c r="G244" s="524">
        <f t="shared" si="18"/>
        <v>17438.310000000001</v>
      </c>
      <c r="H244" s="406"/>
      <c r="I244" s="407"/>
      <c r="J244" s="407"/>
      <c r="K244" s="406">
        <f t="shared" si="20"/>
        <v>0</v>
      </c>
      <c r="L244" s="406">
        <f t="shared" si="21"/>
        <v>0</v>
      </c>
      <c r="M244" s="406">
        <f t="shared" si="22"/>
        <v>17438.310000000001</v>
      </c>
      <c r="N244" s="398" t="s">
        <v>3309</v>
      </c>
      <c r="O244" s="398"/>
      <c r="P244" s="403">
        <f>SUMIF('Antelope Bailey Split BA'!$B$7:$B$29,B244,'Antelope Bailey Split BA'!$C$7:$C$29)</f>
        <v>0</v>
      </c>
      <c r="Q244" s="403" t="str">
        <f>IF(AND(P244=1,'Plant Total by Account'!$H$1=2),"EKWRA","")</f>
        <v/>
      </c>
      <c r="S244" s="403">
        <f>SUMIF('ISO w_System Splits'!$D$524:$D$615,B244,'ISO w_System Splits'!$P$524:$P$615)</f>
        <v>0</v>
      </c>
      <c r="T244" s="403" t="str">
        <f>IF(AND(S244&lt;&gt;0,'Plant Total by Account'!$H$1=2),"EKWRA TL Change","")</f>
        <v/>
      </c>
      <c r="V244" s="77">
        <v>8226</v>
      </c>
      <c r="W244" s="404">
        <f t="shared" si="19"/>
        <v>0</v>
      </c>
    </row>
    <row r="245" spans="1:23" ht="12.75" customHeight="1" x14ac:dyDescent="0.2">
      <c r="A245" s="386" t="s">
        <v>2563</v>
      </c>
      <c r="B245" s="398" t="s">
        <v>903</v>
      </c>
      <c r="C245" s="398" t="s">
        <v>3333</v>
      </c>
      <c r="D245" s="399">
        <v>0</v>
      </c>
      <c r="E245" s="399">
        <v>0</v>
      </c>
      <c r="F245" s="399">
        <v>10232.040000000001</v>
      </c>
      <c r="G245" s="524">
        <f t="shared" si="18"/>
        <v>10232.040000000001</v>
      </c>
      <c r="H245" s="406"/>
      <c r="I245" s="407"/>
      <c r="J245" s="407"/>
      <c r="K245" s="406">
        <f t="shared" si="20"/>
        <v>0</v>
      </c>
      <c r="L245" s="406">
        <f t="shared" si="21"/>
        <v>0</v>
      </c>
      <c r="M245" s="406">
        <f t="shared" si="22"/>
        <v>10232.040000000001</v>
      </c>
      <c r="N245" s="398" t="s">
        <v>3309</v>
      </c>
      <c r="O245" s="398"/>
      <c r="P245" s="403">
        <f>SUMIF('Antelope Bailey Split BA'!$B$7:$B$29,B245,'Antelope Bailey Split BA'!$C$7:$C$29)</f>
        <v>0</v>
      </c>
      <c r="Q245" s="403" t="str">
        <f>IF(AND(P245=1,'Plant Total by Account'!$H$1=2),"EKWRA","")</f>
        <v/>
      </c>
      <c r="S245" s="403">
        <f>SUMIF('ISO w_System Splits'!$D$524:$D$615,B245,'ISO w_System Splits'!$P$524:$P$615)</f>
        <v>0</v>
      </c>
      <c r="T245" s="403" t="str">
        <f>IF(AND(S245&lt;&gt;0,'Plant Total by Account'!$H$1=2),"EKWRA TL Change","")</f>
        <v/>
      </c>
      <c r="V245" s="77">
        <v>8234</v>
      </c>
      <c r="W245" s="404">
        <f t="shared" si="19"/>
        <v>0</v>
      </c>
    </row>
    <row r="246" spans="1:23" ht="12.75" customHeight="1" x14ac:dyDescent="0.2">
      <c r="A246" s="386" t="s">
        <v>2564</v>
      </c>
      <c r="B246" s="398" t="s">
        <v>907</v>
      </c>
      <c r="C246" s="398" t="s">
        <v>3333</v>
      </c>
      <c r="D246" s="399">
        <v>0</v>
      </c>
      <c r="E246" s="399">
        <v>3370.6</v>
      </c>
      <c r="F246" s="399">
        <v>3370.6</v>
      </c>
      <c r="G246" s="524">
        <f t="shared" si="18"/>
        <v>6741.2</v>
      </c>
      <c r="H246" s="406"/>
      <c r="I246" s="407"/>
      <c r="J246" s="407"/>
      <c r="K246" s="406">
        <f t="shared" si="20"/>
        <v>0</v>
      </c>
      <c r="L246" s="406">
        <f t="shared" si="21"/>
        <v>3370.6</v>
      </c>
      <c r="M246" s="406">
        <f t="shared" si="22"/>
        <v>3370.6</v>
      </c>
      <c r="N246" s="398" t="s">
        <v>3309</v>
      </c>
      <c r="O246" s="398"/>
      <c r="P246" s="403">
        <f>SUMIF('Antelope Bailey Split BA'!$B$7:$B$29,B246,'Antelope Bailey Split BA'!$C$7:$C$29)</f>
        <v>0</v>
      </c>
      <c r="Q246" s="403" t="str">
        <f>IF(AND(P246=1,'Plant Total by Account'!$H$1=2),"EKWRA","")</f>
        <v/>
      </c>
      <c r="S246" s="403">
        <f>SUMIF('ISO w_System Splits'!$D$524:$D$615,B246,'ISO w_System Splits'!$P$524:$P$615)</f>
        <v>0</v>
      </c>
      <c r="T246" s="403" t="str">
        <f>IF(AND(S246&lt;&gt;0,'Plant Total by Account'!$H$1=2),"EKWRA TL Change","")</f>
        <v/>
      </c>
      <c r="V246" s="77">
        <v>8243</v>
      </c>
      <c r="W246" s="404">
        <f t="shared" si="19"/>
        <v>0</v>
      </c>
    </row>
    <row r="247" spans="1:23" ht="12.75" customHeight="1" x14ac:dyDescent="0.2">
      <c r="A247" s="386" t="s">
        <v>2565</v>
      </c>
      <c r="B247" s="398" t="s">
        <v>909</v>
      </c>
      <c r="C247" s="398" t="s">
        <v>3333</v>
      </c>
      <c r="D247" s="399">
        <v>0</v>
      </c>
      <c r="E247" s="399">
        <v>0</v>
      </c>
      <c r="F247" s="399">
        <v>4235.93</v>
      </c>
      <c r="G247" s="524">
        <f t="shared" si="18"/>
        <v>4235.93</v>
      </c>
      <c r="H247" s="406"/>
      <c r="I247" s="407"/>
      <c r="J247" s="407"/>
      <c r="K247" s="406">
        <f t="shared" si="20"/>
        <v>0</v>
      </c>
      <c r="L247" s="406">
        <f t="shared" si="21"/>
        <v>0</v>
      </c>
      <c r="M247" s="406">
        <f t="shared" si="22"/>
        <v>4235.93</v>
      </c>
      <c r="N247" s="398" t="s">
        <v>3309</v>
      </c>
      <c r="O247" s="398"/>
      <c r="P247" s="403">
        <f>SUMIF('Antelope Bailey Split BA'!$B$7:$B$29,B247,'Antelope Bailey Split BA'!$C$7:$C$29)</f>
        <v>0</v>
      </c>
      <c r="Q247" s="403" t="str">
        <f>IF(AND(P247=1,'Plant Total by Account'!$H$1=2),"EKWRA","")</f>
        <v/>
      </c>
      <c r="S247" s="403">
        <f>SUMIF('ISO w_System Splits'!$D$524:$D$615,B247,'ISO w_System Splits'!$P$524:$P$615)</f>
        <v>0</v>
      </c>
      <c r="T247" s="403" t="str">
        <f>IF(AND(S247&lt;&gt;0,'Plant Total by Account'!$H$1=2),"EKWRA TL Change","")</f>
        <v/>
      </c>
      <c r="V247" s="77">
        <v>8250</v>
      </c>
      <c r="W247" s="404">
        <f t="shared" si="19"/>
        <v>0</v>
      </c>
    </row>
    <row r="248" spans="1:23" ht="12.75" customHeight="1" x14ac:dyDescent="0.2">
      <c r="A248" s="386" t="s">
        <v>2566</v>
      </c>
      <c r="B248" s="398" t="s">
        <v>919</v>
      </c>
      <c r="C248" s="398" t="s">
        <v>3333</v>
      </c>
      <c r="D248" s="399">
        <v>0</v>
      </c>
      <c r="E248" s="399">
        <v>0</v>
      </c>
      <c r="F248" s="399">
        <v>27795.78</v>
      </c>
      <c r="G248" s="524">
        <f t="shared" si="18"/>
        <v>27795.78</v>
      </c>
      <c r="H248" s="406"/>
      <c r="I248" s="407"/>
      <c r="J248" s="407"/>
      <c r="K248" s="406">
        <f t="shared" si="20"/>
        <v>0</v>
      </c>
      <c r="L248" s="406">
        <f t="shared" si="21"/>
        <v>0</v>
      </c>
      <c r="M248" s="406">
        <f t="shared" si="22"/>
        <v>27795.78</v>
      </c>
      <c r="N248" s="398" t="s">
        <v>3309</v>
      </c>
      <c r="O248" s="398"/>
      <c r="P248" s="403">
        <f>SUMIF('Antelope Bailey Split BA'!$B$7:$B$29,B248,'Antelope Bailey Split BA'!$C$7:$C$29)</f>
        <v>0</v>
      </c>
      <c r="Q248" s="403" t="str">
        <f>IF(AND(P248=1,'Plant Total by Account'!$H$1=2),"EKWRA","")</f>
        <v/>
      </c>
      <c r="S248" s="403">
        <f>SUMIF('ISO w_System Splits'!$D$524:$D$615,B248,'ISO w_System Splits'!$P$524:$P$615)</f>
        <v>0</v>
      </c>
      <c r="T248" s="403" t="str">
        <f>IF(AND(S248&lt;&gt;0,'Plant Total by Account'!$H$1=2),"EKWRA TL Change","")</f>
        <v/>
      </c>
      <c r="V248" s="77">
        <v>8267</v>
      </c>
      <c r="W248" s="404">
        <f t="shared" si="19"/>
        <v>0</v>
      </c>
    </row>
    <row r="249" spans="1:23" ht="12.75" customHeight="1" x14ac:dyDescent="0.2">
      <c r="A249" s="386" t="s">
        <v>2567</v>
      </c>
      <c r="B249" s="398" t="s">
        <v>2242</v>
      </c>
      <c r="C249" s="398" t="s">
        <v>3329</v>
      </c>
      <c r="D249" s="399">
        <v>0</v>
      </c>
      <c r="E249" s="399">
        <v>1775355.47</v>
      </c>
      <c r="F249" s="399">
        <v>8689830.0600000005</v>
      </c>
      <c r="G249" s="524">
        <f t="shared" si="18"/>
        <v>10465185.530000001</v>
      </c>
      <c r="H249" s="406"/>
      <c r="I249" s="407"/>
      <c r="J249" s="407"/>
      <c r="K249" s="406">
        <f t="shared" si="20"/>
        <v>0</v>
      </c>
      <c r="L249" s="406">
        <f t="shared" si="21"/>
        <v>1775355.47</v>
      </c>
      <c r="M249" s="406">
        <f t="shared" si="22"/>
        <v>8689830.0600000005</v>
      </c>
      <c r="N249" s="398" t="s">
        <v>3309</v>
      </c>
      <c r="O249" s="398"/>
      <c r="P249" s="403">
        <f>SUMIF('Antelope Bailey Split BA'!$B$7:$B$29,B249,'Antelope Bailey Split BA'!$C$7:$C$29)</f>
        <v>0</v>
      </c>
      <c r="Q249" s="403" t="str">
        <f>IF(AND(P249=1,'Plant Total by Account'!$H$1=2),"EKWRA","")</f>
        <v/>
      </c>
      <c r="S249" s="403">
        <f>SUMIF('ISO w_System Splits'!$D$524:$D$615,B249,'ISO w_System Splits'!$P$524:$P$615)</f>
        <v>0</v>
      </c>
      <c r="T249" s="403" t="str">
        <f>IF(AND(S249&lt;&gt;0,'Plant Total by Account'!$H$1=2),"EKWRA TL Change","")</f>
        <v/>
      </c>
      <c r="V249" s="77">
        <v>8270</v>
      </c>
      <c r="W249" s="404">
        <f t="shared" si="19"/>
        <v>0</v>
      </c>
    </row>
    <row r="250" spans="1:23" ht="12.75" customHeight="1" x14ac:dyDescent="0.2">
      <c r="A250" s="386" t="s">
        <v>2568</v>
      </c>
      <c r="B250" s="398" t="s">
        <v>925</v>
      </c>
      <c r="C250" s="398" t="s">
        <v>3333</v>
      </c>
      <c r="D250" s="399">
        <v>0</v>
      </c>
      <c r="E250" s="399">
        <v>0</v>
      </c>
      <c r="F250" s="399">
        <v>3630062.6500000004</v>
      </c>
      <c r="G250" s="524">
        <f t="shared" si="18"/>
        <v>3630062.6500000004</v>
      </c>
      <c r="H250" s="406"/>
      <c r="I250" s="407"/>
      <c r="J250" s="407"/>
      <c r="K250" s="406">
        <f t="shared" si="20"/>
        <v>0</v>
      </c>
      <c r="L250" s="406">
        <f t="shared" si="21"/>
        <v>0</v>
      </c>
      <c r="M250" s="406">
        <f t="shared" si="22"/>
        <v>3630062.6500000004</v>
      </c>
      <c r="N250" s="398" t="s">
        <v>3309</v>
      </c>
      <c r="O250" s="398"/>
      <c r="P250" s="403">
        <f>SUMIF('Antelope Bailey Split BA'!$B$7:$B$29,B250,'Antelope Bailey Split BA'!$C$7:$C$29)</f>
        <v>0</v>
      </c>
      <c r="Q250" s="403" t="str">
        <f>IF(AND(P250=1,'Plant Total by Account'!$H$1=2),"EKWRA","")</f>
        <v/>
      </c>
      <c r="S250" s="403">
        <f>SUMIF('ISO w_System Splits'!$D$524:$D$615,B250,'ISO w_System Splits'!$P$524:$P$615)</f>
        <v>0</v>
      </c>
      <c r="T250" s="403" t="str">
        <f>IF(AND(S250&lt;&gt;0,'Plant Total by Account'!$H$1=2),"EKWRA TL Change","")</f>
        <v/>
      </c>
      <c r="V250" s="77">
        <v>8283</v>
      </c>
      <c r="W250" s="404">
        <f t="shared" si="19"/>
        <v>0</v>
      </c>
    </row>
    <row r="251" spans="1:23" ht="12.75" customHeight="1" x14ac:dyDescent="0.2">
      <c r="A251" s="386" t="s">
        <v>2569</v>
      </c>
      <c r="B251" s="398" t="s">
        <v>927</v>
      </c>
      <c r="C251" s="398" t="s">
        <v>3329</v>
      </c>
      <c r="D251" s="399">
        <v>0</v>
      </c>
      <c r="E251" s="399">
        <v>0</v>
      </c>
      <c r="F251" s="399">
        <v>13126.75</v>
      </c>
      <c r="G251" s="524">
        <f t="shared" si="18"/>
        <v>13126.75</v>
      </c>
      <c r="H251" s="406"/>
      <c r="I251" s="407"/>
      <c r="J251" s="407"/>
      <c r="K251" s="406">
        <f t="shared" si="20"/>
        <v>0</v>
      </c>
      <c r="L251" s="406">
        <f t="shared" si="21"/>
        <v>0</v>
      </c>
      <c r="M251" s="406">
        <f t="shared" si="22"/>
        <v>13126.75</v>
      </c>
      <c r="N251" s="398" t="s">
        <v>3309</v>
      </c>
      <c r="O251" s="398"/>
      <c r="P251" s="403">
        <f>SUMIF('Antelope Bailey Split BA'!$B$7:$B$29,B251,'Antelope Bailey Split BA'!$C$7:$C$29)</f>
        <v>0</v>
      </c>
      <c r="Q251" s="403" t="str">
        <f>IF(AND(P251=1,'Plant Total by Account'!$H$1=2),"EKWRA","")</f>
        <v/>
      </c>
      <c r="S251" s="403">
        <f>SUMIF('ISO w_System Splits'!$D$524:$D$615,B251,'ISO w_System Splits'!$P$524:$P$615)</f>
        <v>0</v>
      </c>
      <c r="T251" s="403" t="str">
        <f>IF(AND(S251&lt;&gt;0,'Plant Total by Account'!$H$1=2),"EKWRA TL Change","")</f>
        <v/>
      </c>
      <c r="V251" s="77">
        <v>8297</v>
      </c>
      <c r="W251" s="404">
        <f t="shared" si="19"/>
        <v>0</v>
      </c>
    </row>
    <row r="252" spans="1:23" ht="12.75" customHeight="1" x14ac:dyDescent="0.2">
      <c r="A252" s="386" t="s">
        <v>2570</v>
      </c>
      <c r="B252" s="398" t="s">
        <v>1231</v>
      </c>
      <c r="C252" s="398" t="s">
        <v>3329</v>
      </c>
      <c r="D252" s="399">
        <v>0</v>
      </c>
      <c r="E252" s="399">
        <v>4639.95</v>
      </c>
      <c r="F252" s="399">
        <v>752388.41999999969</v>
      </c>
      <c r="G252" s="524">
        <f t="shared" si="18"/>
        <v>757028.36999999965</v>
      </c>
      <c r="H252" s="406"/>
      <c r="I252" s="407"/>
      <c r="J252" s="407"/>
      <c r="K252" s="406">
        <f t="shared" si="20"/>
        <v>0</v>
      </c>
      <c r="L252" s="406">
        <f t="shared" si="21"/>
        <v>4639.95</v>
      </c>
      <c r="M252" s="406">
        <f t="shared" si="22"/>
        <v>752388.41999999969</v>
      </c>
      <c r="N252" s="398" t="s">
        <v>3309</v>
      </c>
      <c r="O252" s="398"/>
      <c r="P252" s="403">
        <f>SUMIF('Antelope Bailey Split BA'!$B$7:$B$29,B252,'Antelope Bailey Split BA'!$C$7:$C$29)</f>
        <v>0</v>
      </c>
      <c r="Q252" s="403" t="str">
        <f>IF(AND(P252=1,'Plant Total by Account'!$H$1=2),"EKWRA","")</f>
        <v/>
      </c>
      <c r="S252" s="403">
        <f>SUMIF('ISO w_System Splits'!$D$524:$D$615,B252,'ISO w_System Splits'!$P$524:$P$615)</f>
        <v>0</v>
      </c>
      <c r="T252" s="403" t="str">
        <f>IF(AND(S252&lt;&gt;0,'Plant Total by Account'!$H$1=2),"EKWRA TL Change","")</f>
        <v/>
      </c>
      <c r="V252" s="77">
        <v>8301</v>
      </c>
      <c r="W252" s="404">
        <f t="shared" si="19"/>
        <v>0</v>
      </c>
    </row>
    <row r="253" spans="1:23" ht="12.75" customHeight="1" x14ac:dyDescent="0.2">
      <c r="A253" s="386" t="s">
        <v>2571</v>
      </c>
      <c r="B253" s="398" t="s">
        <v>929</v>
      </c>
      <c r="C253" s="398" t="s">
        <v>3329</v>
      </c>
      <c r="D253" s="399">
        <v>0</v>
      </c>
      <c r="E253" s="399">
        <v>0</v>
      </c>
      <c r="F253" s="399">
        <v>8341.61</v>
      </c>
      <c r="G253" s="524">
        <f t="shared" si="18"/>
        <v>8341.61</v>
      </c>
      <c r="H253" s="406"/>
      <c r="I253" s="407"/>
      <c r="J253" s="407"/>
      <c r="K253" s="406">
        <f t="shared" si="20"/>
        <v>0</v>
      </c>
      <c r="L253" s="406">
        <f t="shared" si="21"/>
        <v>0</v>
      </c>
      <c r="M253" s="406">
        <f t="shared" si="22"/>
        <v>8341.61</v>
      </c>
      <c r="N253" s="398" t="s">
        <v>3309</v>
      </c>
      <c r="O253" s="398"/>
      <c r="P253" s="403">
        <f>SUMIF('Antelope Bailey Split BA'!$B$7:$B$29,B253,'Antelope Bailey Split BA'!$C$7:$C$29)</f>
        <v>0</v>
      </c>
      <c r="Q253" s="403" t="str">
        <f>IF(AND(P253=1,'Plant Total by Account'!$H$1=2),"EKWRA","")</f>
        <v/>
      </c>
      <c r="S253" s="403">
        <f>SUMIF('ISO w_System Splits'!$D$524:$D$615,B253,'ISO w_System Splits'!$P$524:$P$615)</f>
        <v>0</v>
      </c>
      <c r="T253" s="403" t="str">
        <f>IF(AND(S253&lt;&gt;0,'Plant Total by Account'!$H$1=2),"EKWRA TL Change","")</f>
        <v/>
      </c>
      <c r="V253" s="77">
        <v>8302</v>
      </c>
      <c r="W253" s="404">
        <f t="shared" si="19"/>
        <v>0</v>
      </c>
    </row>
    <row r="254" spans="1:23" ht="12.75" customHeight="1" x14ac:dyDescent="0.2">
      <c r="A254" s="386" t="s">
        <v>2572</v>
      </c>
      <c r="B254" s="398" t="s">
        <v>1232</v>
      </c>
      <c r="C254" s="398" t="s">
        <v>3329</v>
      </c>
      <c r="D254" s="399">
        <v>0</v>
      </c>
      <c r="E254" s="399">
        <v>15102.37</v>
      </c>
      <c r="F254" s="399">
        <v>832520.66999999993</v>
      </c>
      <c r="G254" s="524">
        <f t="shared" si="18"/>
        <v>847623.03999999992</v>
      </c>
      <c r="H254" s="406"/>
      <c r="I254" s="407"/>
      <c r="J254" s="407"/>
      <c r="K254" s="406">
        <f t="shared" si="20"/>
        <v>0</v>
      </c>
      <c r="L254" s="406">
        <f t="shared" si="21"/>
        <v>15102.37</v>
      </c>
      <c r="M254" s="406">
        <f t="shared" si="22"/>
        <v>832520.66999999993</v>
      </c>
      <c r="N254" s="398" t="s">
        <v>3309</v>
      </c>
      <c r="O254" s="398"/>
      <c r="P254" s="403">
        <f>SUMIF('Antelope Bailey Split BA'!$B$7:$B$29,B254,'Antelope Bailey Split BA'!$C$7:$C$29)</f>
        <v>0</v>
      </c>
      <c r="Q254" s="403" t="str">
        <f>IF(AND(P254=1,'Plant Total by Account'!$H$1=2),"EKWRA","")</f>
        <v/>
      </c>
      <c r="S254" s="403">
        <f>SUMIF('ISO w_System Splits'!$D$524:$D$615,B254,'ISO w_System Splits'!$P$524:$P$615)</f>
        <v>0</v>
      </c>
      <c r="T254" s="403" t="str">
        <f>IF(AND(S254&lt;&gt;0,'Plant Total by Account'!$H$1=2),"EKWRA TL Change","")</f>
        <v/>
      </c>
      <c r="V254" s="77">
        <v>8303</v>
      </c>
      <c r="W254" s="404">
        <f t="shared" si="19"/>
        <v>0</v>
      </c>
    </row>
    <row r="255" spans="1:23" ht="12.75" customHeight="1" x14ac:dyDescent="0.2">
      <c r="A255" s="386" t="s">
        <v>2573</v>
      </c>
      <c r="B255" s="398" t="s">
        <v>1233</v>
      </c>
      <c r="C255" s="398" t="s">
        <v>3329</v>
      </c>
      <c r="D255" s="399">
        <v>0</v>
      </c>
      <c r="E255" s="399">
        <v>0</v>
      </c>
      <c r="F255" s="399">
        <v>104029.27000000002</v>
      </c>
      <c r="G255" s="524">
        <f t="shared" si="18"/>
        <v>104029.27000000002</v>
      </c>
      <c r="H255" s="406"/>
      <c r="I255" s="407"/>
      <c r="J255" s="407"/>
      <c r="K255" s="406">
        <f t="shared" si="20"/>
        <v>0</v>
      </c>
      <c r="L255" s="406">
        <f t="shared" si="21"/>
        <v>0</v>
      </c>
      <c r="M255" s="406">
        <f t="shared" si="22"/>
        <v>104029.27000000002</v>
      </c>
      <c r="N255" s="398" t="s">
        <v>3309</v>
      </c>
      <c r="O255" s="398"/>
      <c r="P255" s="403">
        <f>SUMIF('Antelope Bailey Split BA'!$B$7:$B$29,B255,'Antelope Bailey Split BA'!$C$7:$C$29)</f>
        <v>0</v>
      </c>
      <c r="Q255" s="403" t="str">
        <f>IF(AND(P255=1,'Plant Total by Account'!$H$1=2),"EKWRA","")</f>
        <v/>
      </c>
      <c r="S255" s="403">
        <f>SUMIF('ISO w_System Splits'!$D$524:$D$615,B255,'ISO w_System Splits'!$P$524:$P$615)</f>
        <v>0</v>
      </c>
      <c r="T255" s="403" t="str">
        <f>IF(AND(S255&lt;&gt;0,'Plant Total by Account'!$H$1=2),"EKWRA TL Change","")</f>
        <v/>
      </c>
      <c r="V255" s="77">
        <v>8304</v>
      </c>
      <c r="W255" s="404">
        <f t="shared" si="19"/>
        <v>0</v>
      </c>
    </row>
    <row r="256" spans="1:23" ht="12.75" customHeight="1" x14ac:dyDescent="0.2">
      <c r="A256" s="386" t="s">
        <v>2574</v>
      </c>
      <c r="B256" s="398" t="s">
        <v>1234</v>
      </c>
      <c r="C256" s="398" t="s">
        <v>3329</v>
      </c>
      <c r="D256" s="399">
        <v>0</v>
      </c>
      <c r="E256" s="399">
        <v>25365.89</v>
      </c>
      <c r="F256" s="399">
        <v>799240.18</v>
      </c>
      <c r="G256" s="524">
        <f t="shared" si="18"/>
        <v>824606.07000000007</v>
      </c>
      <c r="H256" s="406"/>
      <c r="I256" s="407"/>
      <c r="J256" s="407"/>
      <c r="K256" s="406">
        <f t="shared" si="20"/>
        <v>0</v>
      </c>
      <c r="L256" s="406">
        <f t="shared" si="21"/>
        <v>25365.89</v>
      </c>
      <c r="M256" s="406">
        <f t="shared" si="22"/>
        <v>799240.18</v>
      </c>
      <c r="N256" s="398" t="s">
        <v>3309</v>
      </c>
      <c r="O256" s="398"/>
      <c r="P256" s="403">
        <f>SUMIF('Antelope Bailey Split BA'!$B$7:$B$29,B256,'Antelope Bailey Split BA'!$C$7:$C$29)</f>
        <v>0</v>
      </c>
      <c r="Q256" s="403" t="str">
        <f>IF(AND(P256=1,'Plant Total by Account'!$H$1=2),"EKWRA","")</f>
        <v/>
      </c>
      <c r="S256" s="403">
        <f>SUMIF('ISO w_System Splits'!$D$524:$D$615,B256,'ISO w_System Splits'!$P$524:$P$615)</f>
        <v>0</v>
      </c>
      <c r="T256" s="403" t="str">
        <f>IF(AND(S256&lt;&gt;0,'Plant Total by Account'!$H$1=2),"EKWRA TL Change","")</f>
        <v/>
      </c>
      <c r="V256" s="77">
        <v>8305</v>
      </c>
      <c r="W256" s="404">
        <f t="shared" si="19"/>
        <v>0</v>
      </c>
    </row>
    <row r="257" spans="1:23" ht="12.75" customHeight="1" x14ac:dyDescent="0.2">
      <c r="A257" s="386" t="s">
        <v>2575</v>
      </c>
      <c r="B257" s="398" t="s">
        <v>1235</v>
      </c>
      <c r="C257" s="398" t="s">
        <v>3329</v>
      </c>
      <c r="D257" s="399">
        <v>0</v>
      </c>
      <c r="E257" s="399">
        <v>21039.47</v>
      </c>
      <c r="F257" s="399">
        <v>2287049.84</v>
      </c>
      <c r="G257" s="524">
        <f t="shared" si="18"/>
        <v>2308089.31</v>
      </c>
      <c r="H257" s="406"/>
      <c r="I257" s="407"/>
      <c r="J257" s="407"/>
      <c r="K257" s="406">
        <f t="shared" si="20"/>
        <v>0</v>
      </c>
      <c r="L257" s="406">
        <f t="shared" si="21"/>
        <v>21039.47</v>
      </c>
      <c r="M257" s="406">
        <f t="shared" si="22"/>
        <v>2287049.84</v>
      </c>
      <c r="N257" s="398" t="s">
        <v>3309</v>
      </c>
      <c r="O257" s="398"/>
      <c r="P257" s="403">
        <f>SUMIF('Antelope Bailey Split BA'!$B$7:$B$29,B257,'Antelope Bailey Split BA'!$C$7:$C$29)</f>
        <v>0</v>
      </c>
      <c r="Q257" s="403" t="str">
        <f>IF(AND(P257=1,'Plant Total by Account'!$H$1=2),"EKWRA","")</f>
        <v/>
      </c>
      <c r="S257" s="403">
        <f>SUMIF('ISO w_System Splits'!$D$524:$D$615,B257,'ISO w_System Splits'!$P$524:$P$615)</f>
        <v>0</v>
      </c>
      <c r="T257" s="403" t="str">
        <f>IF(AND(S257&lt;&gt;0,'Plant Total by Account'!$H$1=2),"EKWRA TL Change","")</f>
        <v/>
      </c>
      <c r="V257" s="77">
        <v>8306</v>
      </c>
      <c r="W257" s="404">
        <f t="shared" si="19"/>
        <v>0</v>
      </c>
    </row>
    <row r="258" spans="1:23" ht="12.75" customHeight="1" x14ac:dyDescent="0.2">
      <c r="A258" s="386" t="s">
        <v>2576</v>
      </c>
      <c r="B258" s="398" t="s">
        <v>1236</v>
      </c>
      <c r="C258" s="398" t="s">
        <v>3329</v>
      </c>
      <c r="D258" s="399">
        <v>0</v>
      </c>
      <c r="E258" s="399">
        <v>1022.11</v>
      </c>
      <c r="F258" s="399">
        <v>29919.100000000002</v>
      </c>
      <c r="G258" s="524">
        <f t="shared" si="18"/>
        <v>30941.210000000003</v>
      </c>
      <c r="H258" s="406"/>
      <c r="I258" s="407"/>
      <c r="J258" s="407"/>
      <c r="K258" s="406">
        <f t="shared" si="20"/>
        <v>0</v>
      </c>
      <c r="L258" s="406">
        <f t="shared" si="21"/>
        <v>1022.11</v>
      </c>
      <c r="M258" s="406">
        <f t="shared" si="22"/>
        <v>29919.100000000002</v>
      </c>
      <c r="N258" s="398" t="s">
        <v>3309</v>
      </c>
      <c r="O258" s="398"/>
      <c r="P258" s="403">
        <f>SUMIF('Antelope Bailey Split BA'!$B$7:$B$29,B258,'Antelope Bailey Split BA'!$C$7:$C$29)</f>
        <v>0</v>
      </c>
      <c r="Q258" s="403" t="str">
        <f>IF(AND(P258=1,'Plant Total by Account'!$H$1=2),"EKWRA","")</f>
        <v/>
      </c>
      <c r="S258" s="403">
        <f>SUMIF('ISO w_System Splits'!$D$524:$D$615,B258,'ISO w_System Splits'!$P$524:$P$615)</f>
        <v>0</v>
      </c>
      <c r="T258" s="403" t="str">
        <f>IF(AND(S258&lt;&gt;0,'Plant Total by Account'!$H$1=2),"EKWRA TL Change","")</f>
        <v/>
      </c>
      <c r="V258" s="77">
        <v>8308</v>
      </c>
      <c r="W258" s="404">
        <f t="shared" si="19"/>
        <v>0</v>
      </c>
    </row>
    <row r="259" spans="1:23" ht="12.75" customHeight="1" x14ac:dyDescent="0.2">
      <c r="A259" s="386" t="s">
        <v>2577</v>
      </c>
      <c r="B259" s="398" t="s">
        <v>1237</v>
      </c>
      <c r="C259" s="398" t="s">
        <v>3329</v>
      </c>
      <c r="D259" s="399">
        <v>0</v>
      </c>
      <c r="E259" s="399">
        <v>5398.4800000000005</v>
      </c>
      <c r="F259" s="399">
        <v>176632.87</v>
      </c>
      <c r="G259" s="524">
        <f t="shared" si="18"/>
        <v>182031.35</v>
      </c>
      <c r="H259" s="406"/>
      <c r="I259" s="407"/>
      <c r="J259" s="407"/>
      <c r="K259" s="406">
        <f t="shared" si="20"/>
        <v>0</v>
      </c>
      <c r="L259" s="406">
        <f t="shared" si="21"/>
        <v>5398.4800000000005</v>
      </c>
      <c r="M259" s="406">
        <f t="shared" si="22"/>
        <v>176632.87</v>
      </c>
      <c r="N259" s="398" t="s">
        <v>3309</v>
      </c>
      <c r="O259" s="398"/>
      <c r="P259" s="403">
        <f>SUMIF('Antelope Bailey Split BA'!$B$7:$B$29,B259,'Antelope Bailey Split BA'!$C$7:$C$29)</f>
        <v>0</v>
      </c>
      <c r="Q259" s="403" t="str">
        <f>IF(AND(P259=1,'Plant Total by Account'!$H$1=2),"EKWRA","")</f>
        <v/>
      </c>
      <c r="S259" s="403">
        <f>SUMIF('ISO w_System Splits'!$D$524:$D$615,B259,'ISO w_System Splits'!$P$524:$P$615)</f>
        <v>0</v>
      </c>
      <c r="T259" s="403" t="str">
        <f>IF(AND(S259&lt;&gt;0,'Plant Total by Account'!$H$1=2),"EKWRA TL Change","")</f>
        <v/>
      </c>
      <c r="V259" s="77">
        <v>8310</v>
      </c>
      <c r="W259" s="404">
        <f t="shared" si="19"/>
        <v>0</v>
      </c>
    </row>
    <row r="260" spans="1:23" ht="12.75" customHeight="1" x14ac:dyDescent="0.2">
      <c r="A260" s="386" t="s">
        <v>2578</v>
      </c>
      <c r="B260" s="398" t="s">
        <v>1238</v>
      </c>
      <c r="C260" s="398" t="s">
        <v>3329</v>
      </c>
      <c r="D260" s="399">
        <v>0</v>
      </c>
      <c r="E260" s="399">
        <v>4899.46</v>
      </c>
      <c r="F260" s="399">
        <v>85323.82</v>
      </c>
      <c r="G260" s="524">
        <f t="shared" si="18"/>
        <v>90223.280000000013</v>
      </c>
      <c r="H260" s="406"/>
      <c r="I260" s="407"/>
      <c r="J260" s="407"/>
      <c r="K260" s="406">
        <f t="shared" si="20"/>
        <v>0</v>
      </c>
      <c r="L260" s="406">
        <f t="shared" si="21"/>
        <v>4899.46</v>
      </c>
      <c r="M260" s="406">
        <f t="shared" si="22"/>
        <v>85323.82</v>
      </c>
      <c r="N260" s="398" t="s">
        <v>3309</v>
      </c>
      <c r="O260" s="398"/>
      <c r="P260" s="403">
        <f>SUMIF('Antelope Bailey Split BA'!$B$7:$B$29,B260,'Antelope Bailey Split BA'!$C$7:$C$29)</f>
        <v>0</v>
      </c>
      <c r="Q260" s="403" t="str">
        <f>IF(AND(P260=1,'Plant Total by Account'!$H$1=2),"EKWRA","")</f>
        <v/>
      </c>
      <c r="S260" s="403">
        <f>SUMIF('ISO w_System Splits'!$D$524:$D$615,B260,'ISO w_System Splits'!$P$524:$P$615)</f>
        <v>0</v>
      </c>
      <c r="T260" s="403" t="str">
        <f>IF(AND(S260&lt;&gt;0,'Plant Total by Account'!$H$1=2),"EKWRA TL Change","")</f>
        <v/>
      </c>
      <c r="V260" s="77">
        <v>8311</v>
      </c>
      <c r="W260" s="404">
        <f t="shared" si="19"/>
        <v>0</v>
      </c>
    </row>
    <row r="261" spans="1:23" ht="12.75" customHeight="1" x14ac:dyDescent="0.2">
      <c r="A261" s="386" t="s">
        <v>2579</v>
      </c>
      <c r="B261" s="398" t="s">
        <v>930</v>
      </c>
      <c r="C261" s="398" t="s">
        <v>3329</v>
      </c>
      <c r="D261" s="399">
        <v>532.24</v>
      </c>
      <c r="E261" s="399">
        <v>1599.8500000000001</v>
      </c>
      <c r="F261" s="399">
        <v>12970.05</v>
      </c>
      <c r="G261" s="524">
        <f t="shared" si="18"/>
        <v>15102.14</v>
      </c>
      <c r="H261" s="406"/>
      <c r="I261" s="407"/>
      <c r="J261" s="407"/>
      <c r="K261" s="406">
        <f t="shared" si="20"/>
        <v>532.24</v>
      </c>
      <c r="L261" s="406">
        <f t="shared" si="21"/>
        <v>1599.8500000000001</v>
      </c>
      <c r="M261" s="406">
        <f t="shared" si="22"/>
        <v>12970.05</v>
      </c>
      <c r="N261" s="398" t="s">
        <v>3309</v>
      </c>
      <c r="O261" s="398"/>
      <c r="P261" s="403">
        <f>SUMIF('Antelope Bailey Split BA'!$B$7:$B$29,B261,'Antelope Bailey Split BA'!$C$7:$C$29)</f>
        <v>0</v>
      </c>
      <c r="Q261" s="403" t="str">
        <f>IF(AND(P261=1,'Plant Total by Account'!$H$1=2),"EKWRA","")</f>
        <v/>
      </c>
      <c r="S261" s="403">
        <f>SUMIF('ISO w_System Splits'!$D$524:$D$615,B261,'ISO w_System Splits'!$P$524:$P$615)</f>
        <v>0</v>
      </c>
      <c r="T261" s="403" t="str">
        <f>IF(AND(S261&lt;&gt;0,'Plant Total by Account'!$H$1=2),"EKWRA TL Change","")</f>
        <v/>
      </c>
      <c r="V261" s="77">
        <v>8312</v>
      </c>
      <c r="W261" s="404">
        <f t="shared" si="19"/>
        <v>0</v>
      </c>
    </row>
    <row r="262" spans="1:23" ht="12.75" customHeight="1" x14ac:dyDescent="0.2">
      <c r="A262" s="386" t="s">
        <v>2580</v>
      </c>
      <c r="B262" s="398" t="s">
        <v>1239</v>
      </c>
      <c r="C262" s="398" t="s">
        <v>3329</v>
      </c>
      <c r="D262" s="399">
        <v>0</v>
      </c>
      <c r="E262" s="399">
        <v>100993.25</v>
      </c>
      <c r="F262" s="399">
        <v>2033246.3600000003</v>
      </c>
      <c r="G262" s="524">
        <f t="shared" si="18"/>
        <v>2134239.6100000003</v>
      </c>
      <c r="H262" s="406"/>
      <c r="I262" s="407"/>
      <c r="J262" s="407"/>
      <c r="K262" s="406">
        <f t="shared" si="20"/>
        <v>0</v>
      </c>
      <c r="L262" s="406">
        <f t="shared" si="21"/>
        <v>100993.25</v>
      </c>
      <c r="M262" s="406">
        <f t="shared" si="22"/>
        <v>2033246.3600000003</v>
      </c>
      <c r="N262" s="398" t="s">
        <v>3309</v>
      </c>
      <c r="O262" s="398"/>
      <c r="P262" s="403">
        <f>SUMIF('Antelope Bailey Split BA'!$B$7:$B$29,B262,'Antelope Bailey Split BA'!$C$7:$C$29)</f>
        <v>0</v>
      </c>
      <c r="Q262" s="403" t="str">
        <f>IF(AND(P262=1,'Plant Total by Account'!$H$1=2),"EKWRA","")</f>
        <v/>
      </c>
      <c r="S262" s="403">
        <f>SUMIF('ISO w_System Splits'!$D$524:$D$615,B262,'ISO w_System Splits'!$P$524:$P$615)</f>
        <v>0</v>
      </c>
      <c r="T262" s="403" t="str">
        <f>IF(AND(S262&lt;&gt;0,'Plant Total by Account'!$H$1=2),"EKWRA TL Change","")</f>
        <v/>
      </c>
      <c r="V262" s="77">
        <v>8314</v>
      </c>
      <c r="W262" s="404">
        <f t="shared" si="19"/>
        <v>0</v>
      </c>
    </row>
    <row r="263" spans="1:23" ht="12.75" customHeight="1" x14ac:dyDescent="0.2">
      <c r="A263" s="386" t="s">
        <v>2581</v>
      </c>
      <c r="B263" s="398" t="s">
        <v>1240</v>
      </c>
      <c r="C263" s="398" t="s">
        <v>3329</v>
      </c>
      <c r="D263" s="399">
        <v>0</v>
      </c>
      <c r="E263" s="399">
        <v>0</v>
      </c>
      <c r="F263" s="399">
        <v>17519.41</v>
      </c>
      <c r="G263" s="524">
        <f t="shared" si="18"/>
        <v>17519.41</v>
      </c>
      <c r="K263" s="405">
        <f t="shared" si="20"/>
        <v>0</v>
      </c>
      <c r="L263" s="405">
        <f t="shared" si="21"/>
        <v>0</v>
      </c>
      <c r="M263" s="405">
        <f t="shared" si="22"/>
        <v>17519.41</v>
      </c>
      <c r="N263" s="398" t="s">
        <v>3309</v>
      </c>
      <c r="O263" s="398"/>
      <c r="P263" s="403">
        <f>SUMIF('Antelope Bailey Split BA'!$B$7:$B$29,B263,'Antelope Bailey Split BA'!$C$7:$C$29)</f>
        <v>0</v>
      </c>
      <c r="Q263" s="403" t="str">
        <f>IF(AND(P263=1,'Plant Total by Account'!$H$1=2),"EKWRA","")</f>
        <v/>
      </c>
      <c r="S263" s="403">
        <f>SUMIF('ISO w_System Splits'!$D$524:$D$615,B263,'ISO w_System Splits'!$P$524:$P$615)</f>
        <v>0</v>
      </c>
      <c r="T263" s="403" t="str">
        <f>IF(AND(S263&lt;&gt;0,'Plant Total by Account'!$H$1=2),"EKWRA TL Change","")</f>
        <v/>
      </c>
      <c r="V263" s="77">
        <v>8320</v>
      </c>
      <c r="W263" s="404">
        <f t="shared" si="19"/>
        <v>0</v>
      </c>
    </row>
    <row r="264" spans="1:23" ht="12.75" customHeight="1" x14ac:dyDescent="0.2">
      <c r="A264" s="386" t="s">
        <v>2582</v>
      </c>
      <c r="B264" s="398" t="s">
        <v>1241</v>
      </c>
      <c r="C264" s="398" t="s">
        <v>3329</v>
      </c>
      <c r="D264" s="399">
        <v>0</v>
      </c>
      <c r="E264" s="399">
        <v>0</v>
      </c>
      <c r="F264" s="399">
        <v>11754.550000000001</v>
      </c>
      <c r="G264" s="524">
        <f t="shared" si="18"/>
        <v>11754.550000000001</v>
      </c>
      <c r="K264" s="405">
        <f t="shared" si="20"/>
        <v>0</v>
      </c>
      <c r="L264" s="405">
        <f t="shared" si="21"/>
        <v>0</v>
      </c>
      <c r="M264" s="405">
        <f t="shared" si="22"/>
        <v>11754.550000000001</v>
      </c>
      <c r="N264" s="398" t="s">
        <v>3309</v>
      </c>
      <c r="O264" s="398"/>
      <c r="P264" s="403">
        <f>SUMIF('Antelope Bailey Split BA'!$B$7:$B$29,B264,'Antelope Bailey Split BA'!$C$7:$C$29)</f>
        <v>0</v>
      </c>
      <c r="Q264" s="403" t="str">
        <f>IF(AND(P264=1,'Plant Total by Account'!$H$1=2),"EKWRA","")</f>
        <v/>
      </c>
      <c r="S264" s="403">
        <f>SUMIF('ISO w_System Splits'!$D$524:$D$615,B264,'ISO w_System Splits'!$P$524:$P$615)</f>
        <v>0</v>
      </c>
      <c r="T264" s="403" t="str">
        <f>IF(AND(S264&lt;&gt;0,'Plant Total by Account'!$H$1=2),"EKWRA TL Change","")</f>
        <v/>
      </c>
      <c r="V264" s="77">
        <v>8321</v>
      </c>
      <c r="W264" s="404">
        <f t="shared" si="19"/>
        <v>0</v>
      </c>
    </row>
    <row r="265" spans="1:23" ht="12.75" customHeight="1" x14ac:dyDescent="0.2">
      <c r="A265" s="386" t="s">
        <v>2583</v>
      </c>
      <c r="B265" s="398" t="s">
        <v>1242</v>
      </c>
      <c r="C265" s="398" t="s">
        <v>3329</v>
      </c>
      <c r="D265" s="399">
        <v>0</v>
      </c>
      <c r="E265" s="399">
        <v>0</v>
      </c>
      <c r="F265" s="399">
        <v>9731.17</v>
      </c>
      <c r="G265" s="524">
        <f t="shared" si="18"/>
        <v>9731.17</v>
      </c>
      <c r="K265" s="405">
        <f t="shared" si="20"/>
        <v>0</v>
      </c>
      <c r="L265" s="405">
        <f t="shared" si="21"/>
        <v>0</v>
      </c>
      <c r="M265" s="405">
        <f t="shared" si="22"/>
        <v>9731.17</v>
      </c>
      <c r="N265" s="398" t="s">
        <v>3309</v>
      </c>
      <c r="O265" s="398"/>
      <c r="P265" s="403">
        <f>SUMIF('Antelope Bailey Split BA'!$B$7:$B$29,B265,'Antelope Bailey Split BA'!$C$7:$C$29)</f>
        <v>0</v>
      </c>
      <c r="Q265" s="403" t="str">
        <f>IF(AND(P265=1,'Plant Total by Account'!$H$1=2),"EKWRA","")</f>
        <v/>
      </c>
      <c r="S265" s="403">
        <f>SUMIF('ISO w_System Splits'!$D$524:$D$615,B265,'ISO w_System Splits'!$P$524:$P$615)</f>
        <v>0</v>
      </c>
      <c r="T265" s="403" t="str">
        <f>IF(AND(S265&lt;&gt;0,'Plant Total by Account'!$H$1=2),"EKWRA TL Change","")</f>
        <v/>
      </c>
      <c r="V265" s="77">
        <v>8322</v>
      </c>
      <c r="W265" s="404">
        <f t="shared" si="19"/>
        <v>0</v>
      </c>
    </row>
    <row r="266" spans="1:23" ht="12.75" customHeight="1" x14ac:dyDescent="0.2">
      <c r="A266" s="386" t="s">
        <v>2584</v>
      </c>
      <c r="B266" s="398" t="s">
        <v>1243</v>
      </c>
      <c r="C266" s="398" t="s">
        <v>3329</v>
      </c>
      <c r="D266" s="399">
        <v>0</v>
      </c>
      <c r="E266" s="399">
        <v>0</v>
      </c>
      <c r="F266" s="399">
        <v>8814.14</v>
      </c>
      <c r="G266" s="524">
        <f t="shared" ref="G266:G296" si="23">SUM(D266:F266)</f>
        <v>8814.14</v>
      </c>
      <c r="K266" s="405">
        <f t="shared" si="20"/>
        <v>0</v>
      </c>
      <c r="L266" s="405">
        <f t="shared" si="21"/>
        <v>0</v>
      </c>
      <c r="M266" s="405">
        <f t="shared" si="22"/>
        <v>8814.14</v>
      </c>
      <c r="N266" s="398" t="s">
        <v>3309</v>
      </c>
      <c r="O266" s="398"/>
      <c r="P266" s="403">
        <f>SUMIF('Antelope Bailey Split BA'!$B$7:$B$29,B266,'Antelope Bailey Split BA'!$C$7:$C$29)</f>
        <v>0</v>
      </c>
      <c r="Q266" s="403" t="str">
        <f>IF(AND(P266=1,'Plant Total by Account'!$H$1=2),"EKWRA","")</f>
        <v/>
      </c>
      <c r="S266" s="403">
        <f>SUMIF('ISO w_System Splits'!$D$524:$D$615,B266,'ISO w_System Splits'!$P$524:$P$615)</f>
        <v>0</v>
      </c>
      <c r="T266" s="403" t="str">
        <f>IF(AND(S266&lt;&gt;0,'Plant Total by Account'!$H$1=2),"EKWRA TL Change","")</f>
        <v/>
      </c>
      <c r="V266" s="77">
        <v>8323</v>
      </c>
      <c r="W266" s="404">
        <f t="shared" ref="W266:W329" si="24">E:E-I:I-L:L</f>
        <v>0</v>
      </c>
    </row>
    <row r="267" spans="1:23" ht="12.75" customHeight="1" x14ac:dyDescent="0.2">
      <c r="A267" s="386" t="s">
        <v>2585</v>
      </c>
      <c r="B267" s="398" t="s">
        <v>1244</v>
      </c>
      <c r="C267" s="398" t="s">
        <v>3329</v>
      </c>
      <c r="D267" s="399">
        <v>0</v>
      </c>
      <c r="E267" s="399">
        <v>0</v>
      </c>
      <c r="F267" s="399">
        <v>29933.06</v>
      </c>
      <c r="G267" s="524">
        <f t="shared" si="23"/>
        <v>29933.06</v>
      </c>
      <c r="K267" s="405">
        <f t="shared" si="20"/>
        <v>0</v>
      </c>
      <c r="L267" s="405">
        <f t="shared" si="21"/>
        <v>0</v>
      </c>
      <c r="M267" s="405">
        <f t="shared" si="22"/>
        <v>29933.06</v>
      </c>
      <c r="N267" s="398" t="s">
        <v>3309</v>
      </c>
      <c r="O267" s="398"/>
      <c r="P267" s="403">
        <f>SUMIF('Antelope Bailey Split BA'!$B$7:$B$29,B267,'Antelope Bailey Split BA'!$C$7:$C$29)</f>
        <v>0</v>
      </c>
      <c r="Q267" s="403" t="str">
        <f>IF(AND(P267=1,'Plant Total by Account'!$H$1=2),"EKWRA","")</f>
        <v/>
      </c>
      <c r="S267" s="403">
        <f>SUMIF('ISO w_System Splits'!$D$524:$D$615,B267,'ISO w_System Splits'!$P$524:$P$615)</f>
        <v>0</v>
      </c>
      <c r="T267" s="403" t="str">
        <f>IF(AND(S267&lt;&gt;0,'Plant Total by Account'!$H$1=2),"EKWRA TL Change","")</f>
        <v/>
      </c>
      <c r="V267" s="77">
        <v>8324</v>
      </c>
      <c r="W267" s="404">
        <f t="shared" si="24"/>
        <v>0</v>
      </c>
    </row>
    <row r="268" spans="1:23" ht="12.75" customHeight="1" x14ac:dyDescent="0.2">
      <c r="A268" s="386" t="s">
        <v>2586</v>
      </c>
      <c r="B268" s="398" t="s">
        <v>1245</v>
      </c>
      <c r="C268" s="398" t="s">
        <v>3329</v>
      </c>
      <c r="D268" s="399">
        <v>0</v>
      </c>
      <c r="E268" s="399">
        <v>0</v>
      </c>
      <c r="F268" s="399">
        <v>119703.79000000001</v>
      </c>
      <c r="G268" s="524">
        <f t="shared" si="23"/>
        <v>119703.79000000001</v>
      </c>
      <c r="K268" s="405">
        <f t="shared" si="20"/>
        <v>0</v>
      </c>
      <c r="L268" s="405">
        <f t="shared" si="21"/>
        <v>0</v>
      </c>
      <c r="M268" s="405">
        <f t="shared" si="22"/>
        <v>119703.79000000001</v>
      </c>
      <c r="N268" s="398" t="s">
        <v>3309</v>
      </c>
      <c r="O268" s="398"/>
      <c r="P268" s="403">
        <f>SUMIF('Antelope Bailey Split BA'!$B$7:$B$29,B268,'Antelope Bailey Split BA'!$C$7:$C$29)</f>
        <v>0</v>
      </c>
      <c r="Q268" s="403" t="str">
        <f>IF(AND(P268=1,'Plant Total by Account'!$H$1=2),"EKWRA","")</f>
        <v/>
      </c>
      <c r="S268" s="403">
        <f>SUMIF('ISO w_System Splits'!$D$524:$D$615,B268,'ISO w_System Splits'!$P$524:$P$615)</f>
        <v>0</v>
      </c>
      <c r="T268" s="403" t="str">
        <f>IF(AND(S268&lt;&gt;0,'Plant Total by Account'!$H$1=2),"EKWRA TL Change","")</f>
        <v/>
      </c>
      <c r="V268" s="77">
        <v>8325</v>
      </c>
      <c r="W268" s="404">
        <f t="shared" si="24"/>
        <v>0</v>
      </c>
    </row>
    <row r="269" spans="1:23" ht="12.75" customHeight="1" x14ac:dyDescent="0.2">
      <c r="A269" s="386" t="s">
        <v>2587</v>
      </c>
      <c r="B269" s="398" t="s">
        <v>1246</v>
      </c>
      <c r="C269" s="398" t="s">
        <v>3331</v>
      </c>
      <c r="D269" s="399">
        <v>0</v>
      </c>
      <c r="E269" s="399">
        <v>0</v>
      </c>
      <c r="F269" s="399">
        <v>83149.77</v>
      </c>
      <c r="G269" s="524">
        <f t="shared" si="23"/>
        <v>83149.77</v>
      </c>
      <c r="K269" s="405">
        <f t="shared" si="20"/>
        <v>0</v>
      </c>
      <c r="L269" s="405">
        <f t="shared" si="21"/>
        <v>0</v>
      </c>
      <c r="M269" s="405">
        <f t="shared" si="22"/>
        <v>83149.77</v>
      </c>
      <c r="N269" s="398" t="s">
        <v>3309</v>
      </c>
      <c r="O269" s="398"/>
      <c r="P269" s="403">
        <f>SUMIF('Antelope Bailey Split BA'!$B$7:$B$29,B269,'Antelope Bailey Split BA'!$C$7:$C$29)</f>
        <v>0</v>
      </c>
      <c r="Q269" s="403" t="str">
        <f>IF(AND(P269=1,'Plant Total by Account'!$H$1=2),"EKWRA","")</f>
        <v/>
      </c>
      <c r="S269" s="403">
        <f>SUMIF('ISO w_System Splits'!$D$524:$D$615,B269,'ISO w_System Splits'!$P$524:$P$615)</f>
        <v>0</v>
      </c>
      <c r="T269" s="403" t="str">
        <f>IF(AND(S269&lt;&gt;0,'Plant Total by Account'!$H$1=2),"EKWRA TL Change","")</f>
        <v/>
      </c>
      <c r="V269" s="77">
        <v>8326</v>
      </c>
      <c r="W269" s="404">
        <f t="shared" si="24"/>
        <v>0</v>
      </c>
    </row>
    <row r="270" spans="1:23" ht="12.75" customHeight="1" x14ac:dyDescent="0.2">
      <c r="A270" s="386" t="s">
        <v>2588</v>
      </c>
      <c r="B270" s="398" t="s">
        <v>1247</v>
      </c>
      <c r="C270" s="398" t="s">
        <v>3331</v>
      </c>
      <c r="D270" s="399">
        <v>0</v>
      </c>
      <c r="E270" s="399">
        <v>0</v>
      </c>
      <c r="F270" s="399">
        <v>74084.899999999994</v>
      </c>
      <c r="G270" s="524">
        <f t="shared" si="23"/>
        <v>74084.899999999994</v>
      </c>
      <c r="K270" s="405">
        <f t="shared" si="20"/>
        <v>0</v>
      </c>
      <c r="L270" s="405">
        <f t="shared" si="21"/>
        <v>0</v>
      </c>
      <c r="M270" s="405">
        <f t="shared" si="22"/>
        <v>74084.899999999994</v>
      </c>
      <c r="N270" s="398" t="s">
        <v>3309</v>
      </c>
      <c r="O270" s="398"/>
      <c r="P270" s="403">
        <f>SUMIF('Antelope Bailey Split BA'!$B$7:$B$29,B270,'Antelope Bailey Split BA'!$C$7:$C$29)</f>
        <v>0</v>
      </c>
      <c r="Q270" s="403" t="str">
        <f>IF(AND(P270=1,'Plant Total by Account'!$H$1=2),"EKWRA","")</f>
        <v/>
      </c>
      <c r="S270" s="403">
        <f>SUMIF('ISO w_System Splits'!$D$524:$D$615,B270,'ISO w_System Splits'!$P$524:$P$615)</f>
        <v>0</v>
      </c>
      <c r="T270" s="403" t="str">
        <f>IF(AND(S270&lt;&gt;0,'Plant Total by Account'!$H$1=2),"EKWRA TL Change","")</f>
        <v/>
      </c>
      <c r="V270" s="77">
        <v>8327</v>
      </c>
      <c r="W270" s="404">
        <f t="shared" si="24"/>
        <v>0</v>
      </c>
    </row>
    <row r="271" spans="1:23" ht="12.75" customHeight="1" x14ac:dyDescent="0.2">
      <c r="A271" s="386" t="s">
        <v>2589</v>
      </c>
      <c r="B271" s="398" t="s">
        <v>137</v>
      </c>
      <c r="C271" s="398" t="s">
        <v>3329</v>
      </c>
      <c r="D271" s="399">
        <v>0</v>
      </c>
      <c r="E271" s="399">
        <v>35643.780000000006</v>
      </c>
      <c r="F271" s="399">
        <v>654011.68999999971</v>
      </c>
      <c r="G271" s="524">
        <f t="shared" si="23"/>
        <v>689655.46999999974</v>
      </c>
      <c r="H271" s="406"/>
      <c r="I271" s="407"/>
      <c r="J271" s="406"/>
      <c r="K271" s="406">
        <f t="shared" si="20"/>
        <v>0</v>
      </c>
      <c r="L271" s="406">
        <f t="shared" si="21"/>
        <v>35643.780000000006</v>
      </c>
      <c r="M271" s="406">
        <f t="shared" si="22"/>
        <v>654011.68999999971</v>
      </c>
      <c r="N271" s="398" t="s">
        <v>3309</v>
      </c>
      <c r="O271" s="398"/>
      <c r="P271" s="403">
        <f>SUMIF('Antelope Bailey Split BA'!$B$7:$B$29,B271,'Antelope Bailey Split BA'!$C$7:$C$29)</f>
        <v>0</v>
      </c>
      <c r="Q271" s="403" t="str">
        <f>IF(AND(P271=1,'Plant Total by Account'!$H$1=2),"EKWRA","")</f>
        <v/>
      </c>
      <c r="S271" s="403">
        <f>SUMIF('ISO w_System Splits'!$D$524:$D$615,B271,'ISO w_System Splits'!$P$524:$P$615)</f>
        <v>0</v>
      </c>
      <c r="T271" s="403" t="str">
        <f>IF(AND(S271&lt;&gt;0,'Plant Total by Account'!$H$1=2),"EKWRA TL Change","")</f>
        <v/>
      </c>
      <c r="V271" s="77">
        <v>8340</v>
      </c>
      <c r="W271" s="404">
        <f t="shared" si="24"/>
        <v>0</v>
      </c>
    </row>
    <row r="272" spans="1:23" ht="12.75" customHeight="1" x14ac:dyDescent="0.2">
      <c r="A272" s="386" t="s">
        <v>2590</v>
      </c>
      <c r="B272" s="398" t="s">
        <v>931</v>
      </c>
      <c r="C272" s="398" t="s">
        <v>3329</v>
      </c>
      <c r="D272" s="399">
        <v>51171.62</v>
      </c>
      <c r="E272" s="399">
        <v>668136.26999999979</v>
      </c>
      <c r="F272" s="399">
        <v>10651190.96000001</v>
      </c>
      <c r="G272" s="524">
        <f t="shared" si="23"/>
        <v>11370498.850000011</v>
      </c>
      <c r="H272" s="406"/>
      <c r="I272" s="407"/>
      <c r="J272" s="406"/>
      <c r="K272" s="406">
        <f t="shared" si="20"/>
        <v>51171.62</v>
      </c>
      <c r="L272" s="406">
        <f t="shared" si="21"/>
        <v>668136.26999999979</v>
      </c>
      <c r="M272" s="406">
        <f t="shared" si="22"/>
        <v>10651190.96000001</v>
      </c>
      <c r="N272" s="398" t="s">
        <v>3309</v>
      </c>
      <c r="O272" s="398"/>
      <c r="P272" s="403">
        <f>SUMIF('Antelope Bailey Split BA'!$B$7:$B$29,B272,'Antelope Bailey Split BA'!$C$7:$C$29)</f>
        <v>0</v>
      </c>
      <c r="Q272" s="403" t="str">
        <f>IF(AND(P272=1,'Plant Total by Account'!$H$1=2),"EKWRA","")</f>
        <v/>
      </c>
      <c r="S272" s="403">
        <f>SUMIF('ISO w_System Splits'!$D$524:$D$615,B272,'ISO w_System Splits'!$P$524:$P$615)</f>
        <v>0</v>
      </c>
      <c r="T272" s="403" t="str">
        <f>IF(AND(S272&lt;&gt;0,'Plant Total by Account'!$H$1=2),"EKWRA TL Change","")</f>
        <v/>
      </c>
      <c r="V272" s="77">
        <v>8342</v>
      </c>
      <c r="W272" s="404">
        <f t="shared" si="24"/>
        <v>0</v>
      </c>
    </row>
    <row r="273" spans="1:23" ht="12.75" customHeight="1" x14ac:dyDescent="0.2">
      <c r="A273" s="386" t="s">
        <v>2591</v>
      </c>
      <c r="B273" s="398" t="s">
        <v>932</v>
      </c>
      <c r="C273" s="398" t="s">
        <v>3329</v>
      </c>
      <c r="D273" s="399">
        <v>20960.510000000002</v>
      </c>
      <c r="E273" s="399">
        <v>267730.49</v>
      </c>
      <c r="F273" s="399">
        <v>11540756.75999999</v>
      </c>
      <c r="G273" s="524">
        <f t="shared" si="23"/>
        <v>11829447.75999999</v>
      </c>
      <c r="H273" s="406"/>
      <c r="I273" s="407"/>
      <c r="J273" s="406"/>
      <c r="K273" s="406">
        <f t="shared" si="20"/>
        <v>20960.510000000002</v>
      </c>
      <c r="L273" s="406">
        <f t="shared" si="21"/>
        <v>267730.49</v>
      </c>
      <c r="M273" s="406">
        <f t="shared" si="22"/>
        <v>11540756.75999999</v>
      </c>
      <c r="N273" s="398" t="s">
        <v>3309</v>
      </c>
      <c r="O273" s="398"/>
      <c r="P273" s="403">
        <f>SUMIF('Antelope Bailey Split BA'!$B$7:$B$29,B273,'Antelope Bailey Split BA'!$C$7:$C$29)</f>
        <v>0</v>
      </c>
      <c r="Q273" s="403" t="str">
        <f>IF(AND(P273=1,'Plant Total by Account'!$H$1=2),"EKWRA","")</f>
        <v/>
      </c>
      <c r="S273" s="403">
        <f>SUMIF('ISO w_System Splits'!$D$524:$D$615,B273,'ISO w_System Splits'!$P$524:$P$615)</f>
        <v>0</v>
      </c>
      <c r="T273" s="403" t="str">
        <f>IF(AND(S273&lt;&gt;0,'Plant Total by Account'!$H$1=2),"EKWRA TL Change","")</f>
        <v/>
      </c>
      <c r="V273" s="77">
        <v>8343</v>
      </c>
      <c r="W273" s="404">
        <f t="shared" si="24"/>
        <v>0</v>
      </c>
    </row>
    <row r="274" spans="1:23" ht="12.75" customHeight="1" x14ac:dyDescent="0.2">
      <c r="A274" s="386" t="s">
        <v>2592</v>
      </c>
      <c r="B274" s="398" t="s">
        <v>933</v>
      </c>
      <c r="C274" s="398" t="s">
        <v>3329</v>
      </c>
      <c r="D274" s="399">
        <v>12178.56</v>
      </c>
      <c r="E274" s="399">
        <v>138277.93</v>
      </c>
      <c r="F274" s="399">
        <v>1878913.1200000003</v>
      </c>
      <c r="G274" s="524">
        <f t="shared" si="23"/>
        <v>2029369.6100000003</v>
      </c>
      <c r="H274" s="406"/>
      <c r="I274" s="407"/>
      <c r="J274" s="406"/>
      <c r="K274" s="406">
        <f t="shared" si="20"/>
        <v>12178.56</v>
      </c>
      <c r="L274" s="406">
        <f t="shared" si="21"/>
        <v>138277.93</v>
      </c>
      <c r="M274" s="406">
        <f t="shared" si="22"/>
        <v>1878913.1200000003</v>
      </c>
      <c r="N274" s="398" t="s">
        <v>3309</v>
      </c>
      <c r="O274" s="398"/>
      <c r="P274" s="403">
        <f>SUMIF('Antelope Bailey Split BA'!$B$7:$B$29,B274,'Antelope Bailey Split BA'!$C$7:$C$29)</f>
        <v>0</v>
      </c>
      <c r="Q274" s="403" t="str">
        <f>IF(AND(P274=1,'Plant Total by Account'!$H$1=2),"EKWRA","")</f>
        <v/>
      </c>
      <c r="S274" s="403">
        <f>SUMIF('ISO w_System Splits'!$D$524:$D$615,B274,'ISO w_System Splits'!$P$524:$P$615)</f>
        <v>0</v>
      </c>
      <c r="T274" s="403" t="str">
        <f>IF(AND(S274&lt;&gt;0,'Plant Total by Account'!$H$1=2),"EKWRA TL Change","")</f>
        <v/>
      </c>
      <c r="V274" s="77">
        <v>8344</v>
      </c>
      <c r="W274" s="404">
        <f t="shared" si="24"/>
        <v>0</v>
      </c>
    </row>
    <row r="275" spans="1:23" ht="12.75" customHeight="1" x14ac:dyDescent="0.2">
      <c r="A275" s="386" t="s">
        <v>2593</v>
      </c>
      <c r="B275" s="398" t="s">
        <v>934</v>
      </c>
      <c r="C275" s="398" t="s">
        <v>3329</v>
      </c>
      <c r="D275" s="399">
        <v>222599.95</v>
      </c>
      <c r="E275" s="399">
        <v>827990.83000000007</v>
      </c>
      <c r="F275" s="399">
        <v>11385271.949999997</v>
      </c>
      <c r="G275" s="524">
        <f t="shared" si="23"/>
        <v>12435862.729999997</v>
      </c>
      <c r="H275" s="406"/>
      <c r="I275" s="407"/>
      <c r="J275" s="406"/>
      <c r="K275" s="406">
        <f t="shared" si="20"/>
        <v>222599.95</v>
      </c>
      <c r="L275" s="406">
        <f t="shared" si="21"/>
        <v>827990.83000000007</v>
      </c>
      <c r="M275" s="406">
        <f t="shared" si="22"/>
        <v>11385271.949999997</v>
      </c>
      <c r="N275" s="398" t="s">
        <v>3309</v>
      </c>
      <c r="O275" s="398"/>
      <c r="P275" s="403">
        <f>SUMIF('Antelope Bailey Split BA'!$B$7:$B$29,B275,'Antelope Bailey Split BA'!$C$7:$C$29)</f>
        <v>0</v>
      </c>
      <c r="Q275" s="403" t="str">
        <f>IF(AND(P275=1,'Plant Total by Account'!$H$1=2),"EKWRA","")</f>
        <v/>
      </c>
      <c r="S275" s="403">
        <f>SUMIF('ISO w_System Splits'!$D$524:$D$615,B275,'ISO w_System Splits'!$P$524:$P$615)</f>
        <v>0</v>
      </c>
      <c r="T275" s="403" t="str">
        <f>IF(AND(S275&lt;&gt;0,'Plant Total by Account'!$H$1=2),"EKWRA TL Change","")</f>
        <v/>
      </c>
      <c r="V275" s="77">
        <v>8345</v>
      </c>
      <c r="W275" s="404">
        <f t="shared" si="24"/>
        <v>0</v>
      </c>
    </row>
    <row r="276" spans="1:23" ht="12.75" customHeight="1" x14ac:dyDescent="0.2">
      <c r="A276" s="386" t="s">
        <v>2594</v>
      </c>
      <c r="B276" s="398" t="s">
        <v>1248</v>
      </c>
      <c r="C276" s="398" t="s">
        <v>3329</v>
      </c>
      <c r="D276" s="399">
        <v>560578.85000000009</v>
      </c>
      <c r="E276" s="399">
        <v>844656.49000000011</v>
      </c>
      <c r="F276" s="399">
        <v>10579688.270000016</v>
      </c>
      <c r="G276" s="524">
        <f t="shared" si="23"/>
        <v>11984923.610000016</v>
      </c>
      <c r="H276" s="406"/>
      <c r="I276" s="407"/>
      <c r="J276" s="406"/>
      <c r="K276" s="406">
        <f t="shared" si="20"/>
        <v>560578.85000000009</v>
      </c>
      <c r="L276" s="406">
        <f t="shared" si="21"/>
        <v>844656.49000000011</v>
      </c>
      <c r="M276" s="406">
        <f t="shared" si="22"/>
        <v>10579688.270000016</v>
      </c>
      <c r="N276" s="398" t="s">
        <v>3309</v>
      </c>
      <c r="O276" s="398"/>
      <c r="P276" s="403">
        <f>SUMIF('Antelope Bailey Split BA'!$B$7:$B$29,B276,'Antelope Bailey Split BA'!$C$7:$C$29)</f>
        <v>0</v>
      </c>
      <c r="Q276" s="403" t="str">
        <f>IF(AND(P276=1,'Plant Total by Account'!$H$1=2),"EKWRA","")</f>
        <v/>
      </c>
      <c r="S276" s="403">
        <f>SUMIF('ISO w_System Splits'!$D$524:$D$615,B276,'ISO w_System Splits'!$P$524:$P$615)</f>
        <v>0</v>
      </c>
      <c r="T276" s="403" t="str">
        <f>IF(AND(S276&lt;&gt;0,'Plant Total by Account'!$H$1=2),"EKWRA TL Change","")</f>
        <v/>
      </c>
      <c r="V276" s="77">
        <v>8347</v>
      </c>
      <c r="W276" s="404">
        <f t="shared" si="24"/>
        <v>0</v>
      </c>
    </row>
    <row r="277" spans="1:23" ht="12.75" customHeight="1" x14ac:dyDescent="0.2">
      <c r="A277" s="386" t="s">
        <v>2595</v>
      </c>
      <c r="B277" s="398" t="s">
        <v>935</v>
      </c>
      <c r="C277" s="398" t="s">
        <v>3329</v>
      </c>
      <c r="D277" s="399">
        <v>40719.870000000003</v>
      </c>
      <c r="E277" s="399">
        <v>142522.91</v>
      </c>
      <c r="F277" s="399">
        <v>14086188.719999988</v>
      </c>
      <c r="G277" s="524">
        <f t="shared" si="23"/>
        <v>14269431.499999987</v>
      </c>
      <c r="H277" s="406"/>
      <c r="I277" s="407"/>
      <c r="J277" s="406"/>
      <c r="K277" s="406">
        <f t="shared" si="20"/>
        <v>40719.870000000003</v>
      </c>
      <c r="L277" s="406">
        <f t="shared" si="21"/>
        <v>142522.91</v>
      </c>
      <c r="M277" s="406">
        <f t="shared" si="22"/>
        <v>14086188.719999988</v>
      </c>
      <c r="N277" s="398" t="s">
        <v>3309</v>
      </c>
      <c r="O277" s="398"/>
      <c r="P277" s="403">
        <f>SUMIF('Antelope Bailey Split BA'!$B$7:$B$29,B277,'Antelope Bailey Split BA'!$C$7:$C$29)</f>
        <v>0</v>
      </c>
      <c r="Q277" s="403" t="str">
        <f>IF(AND(P277=1,'Plant Total by Account'!$H$1=2),"EKWRA","")</f>
        <v/>
      </c>
      <c r="S277" s="403">
        <f>SUMIF('ISO w_System Splits'!$D$524:$D$615,B277,'ISO w_System Splits'!$P$524:$P$615)</f>
        <v>0</v>
      </c>
      <c r="T277" s="403" t="str">
        <f>IF(AND(S277&lt;&gt;0,'Plant Total by Account'!$H$1=2),"EKWRA TL Change","")</f>
        <v/>
      </c>
      <c r="V277" s="77">
        <v>8348</v>
      </c>
      <c r="W277" s="404">
        <f t="shared" si="24"/>
        <v>0</v>
      </c>
    </row>
    <row r="278" spans="1:23" ht="12.75" customHeight="1" x14ac:dyDescent="0.2">
      <c r="A278" s="386" t="s">
        <v>2596</v>
      </c>
      <c r="B278" s="398" t="s">
        <v>1249</v>
      </c>
      <c r="C278" s="398" t="s">
        <v>3329</v>
      </c>
      <c r="D278" s="399">
        <v>119.93</v>
      </c>
      <c r="E278" s="399">
        <v>4439.62</v>
      </c>
      <c r="F278" s="399">
        <v>696181.35</v>
      </c>
      <c r="G278" s="524">
        <f t="shared" si="23"/>
        <v>700740.9</v>
      </c>
      <c r="H278" s="406"/>
      <c r="I278" s="407"/>
      <c r="J278" s="406"/>
      <c r="K278" s="406">
        <f t="shared" si="20"/>
        <v>119.93</v>
      </c>
      <c r="L278" s="406">
        <f t="shared" si="21"/>
        <v>4439.62</v>
      </c>
      <c r="M278" s="406">
        <f t="shared" si="22"/>
        <v>696181.35</v>
      </c>
      <c r="N278" s="398" t="s">
        <v>3309</v>
      </c>
      <c r="O278" s="398"/>
      <c r="P278" s="403">
        <f>SUMIF('Antelope Bailey Split BA'!$B$7:$B$29,B278,'Antelope Bailey Split BA'!$C$7:$C$29)</f>
        <v>0</v>
      </c>
      <c r="Q278" s="403" t="str">
        <f>IF(AND(P278=1,'Plant Total by Account'!$H$1=2),"EKWRA","")</f>
        <v/>
      </c>
      <c r="S278" s="403">
        <f>SUMIF('ISO w_System Splits'!$D$524:$D$615,B278,'ISO w_System Splits'!$P$524:$P$615)</f>
        <v>0</v>
      </c>
      <c r="T278" s="403" t="str">
        <f>IF(AND(S278&lt;&gt;0,'Plant Total by Account'!$H$1=2),"EKWRA TL Change","")</f>
        <v/>
      </c>
      <c r="V278" s="77">
        <v>8351</v>
      </c>
      <c r="W278" s="404">
        <f t="shared" si="24"/>
        <v>0</v>
      </c>
    </row>
    <row r="279" spans="1:23" ht="12.75" customHeight="1" x14ac:dyDescent="0.2">
      <c r="A279" s="386" t="s">
        <v>2597</v>
      </c>
      <c r="B279" s="398" t="s">
        <v>1250</v>
      </c>
      <c r="C279" s="398" t="s">
        <v>3329</v>
      </c>
      <c r="D279" s="399">
        <v>0</v>
      </c>
      <c r="E279" s="399">
        <v>0</v>
      </c>
      <c r="F279" s="399">
        <v>151192.72</v>
      </c>
      <c r="G279" s="524">
        <f t="shared" si="23"/>
        <v>151192.72</v>
      </c>
      <c r="H279" s="406"/>
      <c r="I279" s="407"/>
      <c r="J279" s="407"/>
      <c r="K279" s="406">
        <f t="shared" si="20"/>
        <v>0</v>
      </c>
      <c r="L279" s="406">
        <f t="shared" si="21"/>
        <v>0</v>
      </c>
      <c r="M279" s="406">
        <f t="shared" si="22"/>
        <v>151192.72</v>
      </c>
      <c r="N279" s="398" t="s">
        <v>3309</v>
      </c>
      <c r="O279" s="398"/>
      <c r="P279" s="403">
        <f>SUMIF('Antelope Bailey Split BA'!$B$7:$B$29,B279,'Antelope Bailey Split BA'!$C$7:$C$29)</f>
        <v>0</v>
      </c>
      <c r="Q279" s="403" t="str">
        <f>IF(AND(P279=1,'Plant Total by Account'!$H$1=2),"EKWRA","")</f>
        <v/>
      </c>
      <c r="S279" s="403">
        <f>SUMIF('ISO w_System Splits'!$D$524:$D$615,B279,'ISO w_System Splits'!$P$524:$P$615)</f>
        <v>0</v>
      </c>
      <c r="T279" s="403" t="str">
        <f>IF(AND(S279&lt;&gt;0,'Plant Total by Account'!$H$1=2),"EKWRA TL Change","")</f>
        <v/>
      </c>
      <c r="V279" s="77">
        <v>8353</v>
      </c>
      <c r="W279" s="404">
        <f t="shared" si="24"/>
        <v>0</v>
      </c>
    </row>
    <row r="280" spans="1:23" ht="12.75" customHeight="1" x14ac:dyDescent="0.2">
      <c r="A280" s="386" t="s">
        <v>2598</v>
      </c>
      <c r="B280" s="398" t="s">
        <v>1251</v>
      </c>
      <c r="C280" s="398" t="s">
        <v>3329</v>
      </c>
      <c r="D280" s="399">
        <v>0</v>
      </c>
      <c r="E280" s="399">
        <v>78654.66</v>
      </c>
      <c r="F280" s="399">
        <v>1076360.4600000004</v>
      </c>
      <c r="G280" s="524">
        <f t="shared" si="23"/>
        <v>1155015.1200000003</v>
      </c>
      <c r="H280" s="406"/>
      <c r="I280" s="407"/>
      <c r="J280" s="407"/>
      <c r="K280" s="406">
        <f t="shared" si="20"/>
        <v>0</v>
      </c>
      <c r="L280" s="406">
        <f t="shared" si="21"/>
        <v>78654.66</v>
      </c>
      <c r="M280" s="406">
        <f t="shared" si="22"/>
        <v>1076360.4600000004</v>
      </c>
      <c r="N280" s="398" t="s">
        <v>3309</v>
      </c>
      <c r="O280" s="398"/>
      <c r="P280" s="403">
        <f>SUMIF('Antelope Bailey Split BA'!$B$7:$B$29,B280,'Antelope Bailey Split BA'!$C$7:$C$29)</f>
        <v>0</v>
      </c>
      <c r="Q280" s="403" t="str">
        <f>IF(AND(P280=1,'Plant Total by Account'!$H$1=2),"EKWRA","")</f>
        <v/>
      </c>
      <c r="S280" s="403">
        <f>SUMIF('ISO w_System Splits'!$D$524:$D$615,B280,'ISO w_System Splits'!$P$524:$P$615)</f>
        <v>0</v>
      </c>
      <c r="T280" s="403" t="str">
        <f>IF(AND(S280&lt;&gt;0,'Plant Total by Account'!$H$1=2),"EKWRA TL Change","")</f>
        <v/>
      </c>
      <c r="V280" s="77">
        <v>8354</v>
      </c>
      <c r="W280" s="404">
        <f t="shared" si="24"/>
        <v>0</v>
      </c>
    </row>
    <row r="281" spans="1:23" ht="12.75" customHeight="1" x14ac:dyDescent="0.2">
      <c r="A281" s="386" t="s">
        <v>2599</v>
      </c>
      <c r="B281" s="398" t="s">
        <v>1252</v>
      </c>
      <c r="C281" s="398" t="s">
        <v>3329</v>
      </c>
      <c r="D281" s="399">
        <v>0</v>
      </c>
      <c r="E281" s="399">
        <v>5169.82</v>
      </c>
      <c r="F281" s="399">
        <v>1089069.05</v>
      </c>
      <c r="G281" s="524">
        <f t="shared" si="23"/>
        <v>1094238.8700000001</v>
      </c>
      <c r="H281" s="406"/>
      <c r="I281" s="407"/>
      <c r="J281" s="407"/>
      <c r="K281" s="406">
        <f t="shared" si="20"/>
        <v>0</v>
      </c>
      <c r="L281" s="406">
        <f t="shared" si="21"/>
        <v>5169.82</v>
      </c>
      <c r="M281" s="406">
        <f t="shared" si="22"/>
        <v>1089069.05</v>
      </c>
      <c r="N281" s="398" t="s">
        <v>3309</v>
      </c>
      <c r="O281" s="398"/>
      <c r="P281" s="403">
        <f>SUMIF('Antelope Bailey Split BA'!$B$7:$B$29,B281,'Antelope Bailey Split BA'!$C$7:$C$29)</f>
        <v>0</v>
      </c>
      <c r="Q281" s="403" t="str">
        <f>IF(AND(P281=1,'Plant Total by Account'!$H$1=2),"EKWRA","")</f>
        <v/>
      </c>
      <c r="S281" s="403">
        <f>SUMIF('ISO w_System Splits'!$D$524:$D$615,B281,'ISO w_System Splits'!$P$524:$P$615)</f>
        <v>0</v>
      </c>
      <c r="T281" s="403" t="str">
        <f>IF(AND(S281&lt;&gt;0,'Plant Total by Account'!$H$1=2),"EKWRA TL Change","")</f>
        <v/>
      </c>
      <c r="V281" s="77">
        <v>8357</v>
      </c>
      <c r="W281" s="404">
        <f t="shared" si="24"/>
        <v>0</v>
      </c>
    </row>
    <row r="282" spans="1:23" ht="12.75" customHeight="1" x14ac:dyDescent="0.2">
      <c r="A282" s="386" t="s">
        <v>2600</v>
      </c>
      <c r="B282" s="398" t="s">
        <v>1253</v>
      </c>
      <c r="C282" s="398" t="s">
        <v>3334</v>
      </c>
      <c r="D282" s="399">
        <v>0</v>
      </c>
      <c r="E282" s="399">
        <v>0</v>
      </c>
      <c r="F282" s="399">
        <v>29688.19</v>
      </c>
      <c r="G282" s="524">
        <f t="shared" si="23"/>
        <v>29688.19</v>
      </c>
      <c r="H282" s="406"/>
      <c r="I282" s="407"/>
      <c r="J282" s="407"/>
      <c r="K282" s="406">
        <f t="shared" si="20"/>
        <v>0</v>
      </c>
      <c r="L282" s="406">
        <f t="shared" si="21"/>
        <v>0</v>
      </c>
      <c r="M282" s="406">
        <f t="shared" si="22"/>
        <v>29688.19</v>
      </c>
      <c r="N282" s="398" t="s">
        <v>3309</v>
      </c>
      <c r="O282" s="398"/>
      <c r="P282" s="403">
        <f>SUMIF('Antelope Bailey Split BA'!$B$7:$B$29,B282,'Antelope Bailey Split BA'!$C$7:$C$29)</f>
        <v>0</v>
      </c>
      <c r="Q282" s="403" t="str">
        <f>IF(AND(P282=1,'Plant Total by Account'!$H$1=2),"EKWRA","")</f>
        <v/>
      </c>
      <c r="S282" s="403">
        <f>SUMIF('ISO w_System Splits'!$D$524:$D$615,B282,'ISO w_System Splits'!$P$524:$P$615)</f>
        <v>0</v>
      </c>
      <c r="T282" s="403" t="str">
        <f>IF(AND(S282&lt;&gt;0,'Plant Total by Account'!$H$1=2),"EKWRA TL Change","")</f>
        <v/>
      </c>
      <c r="V282" s="77">
        <v>8359</v>
      </c>
      <c r="W282" s="404">
        <f t="shared" si="24"/>
        <v>0</v>
      </c>
    </row>
    <row r="283" spans="1:23" ht="12.75" customHeight="1" x14ac:dyDescent="0.2">
      <c r="A283" s="386" t="s">
        <v>2601</v>
      </c>
      <c r="B283" s="398" t="s">
        <v>2243</v>
      </c>
      <c r="C283" s="398" t="s">
        <v>3329</v>
      </c>
      <c r="D283" s="399">
        <v>85358.34</v>
      </c>
      <c r="E283" s="399">
        <v>0</v>
      </c>
      <c r="F283" s="399">
        <v>0</v>
      </c>
      <c r="G283" s="524">
        <f t="shared" si="23"/>
        <v>85358.34</v>
      </c>
      <c r="K283" s="405">
        <f t="shared" si="20"/>
        <v>85358.34</v>
      </c>
      <c r="L283" s="405">
        <f t="shared" si="21"/>
        <v>0</v>
      </c>
      <c r="M283" s="405">
        <f t="shared" si="22"/>
        <v>0</v>
      </c>
      <c r="N283" s="398" t="s">
        <v>3309</v>
      </c>
      <c r="O283" s="398"/>
      <c r="P283" s="403">
        <f>SUMIF('Antelope Bailey Split BA'!$B$7:$B$29,B283,'Antelope Bailey Split BA'!$C$7:$C$29)</f>
        <v>0</v>
      </c>
      <c r="Q283" s="403" t="str">
        <f>IF(AND(P283=1,'Plant Total by Account'!$H$1=2),"EKWRA","")</f>
        <v/>
      </c>
      <c r="S283" s="403">
        <f>SUMIF('ISO w_System Splits'!$D$524:$D$615,B283,'ISO w_System Splits'!$P$524:$P$615)</f>
        <v>0</v>
      </c>
      <c r="T283" s="403" t="str">
        <f>IF(AND(S283&lt;&gt;0,'Plant Total by Account'!$H$1=2),"EKWRA TL Change","")</f>
        <v/>
      </c>
      <c r="V283" s="77">
        <v>8361</v>
      </c>
      <c r="W283" s="404">
        <f t="shared" si="24"/>
        <v>0</v>
      </c>
    </row>
    <row r="284" spans="1:23" ht="12.75" customHeight="1" x14ac:dyDescent="0.2">
      <c r="A284" s="386" t="s">
        <v>2602</v>
      </c>
      <c r="B284" s="398" t="s">
        <v>1254</v>
      </c>
      <c r="C284" s="398" t="s">
        <v>3329</v>
      </c>
      <c r="D284" s="399">
        <v>0</v>
      </c>
      <c r="E284" s="399">
        <v>210316.97000000003</v>
      </c>
      <c r="F284" s="399">
        <v>2609845.0200000005</v>
      </c>
      <c r="G284" s="524">
        <f t="shared" si="23"/>
        <v>2820161.9900000007</v>
      </c>
      <c r="H284" s="406"/>
      <c r="I284" s="407"/>
      <c r="J284" s="407"/>
      <c r="K284" s="406">
        <f t="shared" si="20"/>
        <v>0</v>
      </c>
      <c r="L284" s="406">
        <f t="shared" si="21"/>
        <v>210316.97000000003</v>
      </c>
      <c r="M284" s="406">
        <f t="shared" si="22"/>
        <v>2609845.0200000005</v>
      </c>
      <c r="N284" s="398" t="s">
        <v>3309</v>
      </c>
      <c r="O284" s="398"/>
      <c r="P284" s="403">
        <f>SUMIF('Antelope Bailey Split BA'!$B$7:$B$29,B284,'Antelope Bailey Split BA'!$C$7:$C$29)</f>
        <v>0</v>
      </c>
      <c r="Q284" s="403" t="str">
        <f>IF(AND(P284=1,'Plant Total by Account'!$H$1=2),"EKWRA","")</f>
        <v/>
      </c>
      <c r="S284" s="403">
        <f>SUMIF('ISO w_System Splits'!$D$524:$D$615,B284,'ISO w_System Splits'!$P$524:$P$615)</f>
        <v>0</v>
      </c>
      <c r="T284" s="403" t="str">
        <f>IF(AND(S284&lt;&gt;0,'Plant Total by Account'!$H$1=2),"EKWRA TL Change","")</f>
        <v/>
      </c>
      <c r="V284" s="77">
        <v>8362</v>
      </c>
      <c r="W284" s="404">
        <f t="shared" si="24"/>
        <v>0</v>
      </c>
    </row>
    <row r="285" spans="1:23" ht="12.75" customHeight="1" x14ac:dyDescent="0.2">
      <c r="A285" s="386" t="s">
        <v>2604</v>
      </c>
      <c r="B285" s="398" t="s">
        <v>940</v>
      </c>
      <c r="C285" s="398" t="s">
        <v>3334</v>
      </c>
      <c r="D285" s="399">
        <v>0</v>
      </c>
      <c r="E285" s="399">
        <v>0</v>
      </c>
      <c r="F285" s="399">
        <v>43288.94</v>
      </c>
      <c r="G285" s="524">
        <f t="shared" si="23"/>
        <v>43288.94</v>
      </c>
      <c r="H285" s="406"/>
      <c r="I285" s="407"/>
      <c r="J285" s="407"/>
      <c r="K285" s="406">
        <f t="shared" si="20"/>
        <v>0</v>
      </c>
      <c r="L285" s="406">
        <f t="shared" si="21"/>
        <v>0</v>
      </c>
      <c r="M285" s="406">
        <f t="shared" si="22"/>
        <v>43288.94</v>
      </c>
      <c r="N285" s="398" t="s">
        <v>3309</v>
      </c>
      <c r="O285" s="398"/>
      <c r="P285" s="403">
        <f>SUMIF('Antelope Bailey Split BA'!$B$7:$B$29,B285,'Antelope Bailey Split BA'!$C$7:$C$29)</f>
        <v>0</v>
      </c>
      <c r="Q285" s="403" t="str">
        <f>IF(AND(P285=1,'Plant Total by Account'!$H$1=2),"EKWRA","")</f>
        <v/>
      </c>
      <c r="S285" s="403">
        <f>SUMIF('ISO w_System Splits'!$D$524:$D$615,B285,'ISO w_System Splits'!$P$524:$P$615)</f>
        <v>0</v>
      </c>
      <c r="T285" s="403" t="str">
        <f>IF(AND(S285&lt;&gt;0,'Plant Total by Account'!$H$1=2),"EKWRA TL Change","")</f>
        <v/>
      </c>
      <c r="V285" s="77">
        <v>8509</v>
      </c>
      <c r="W285" s="404">
        <f t="shared" si="24"/>
        <v>0</v>
      </c>
    </row>
    <row r="286" spans="1:23" ht="12.75" customHeight="1" x14ac:dyDescent="0.2">
      <c r="A286" s="386" t="s">
        <v>2605</v>
      </c>
      <c r="B286" s="398" t="s">
        <v>947</v>
      </c>
      <c r="C286" s="398" t="s">
        <v>3334</v>
      </c>
      <c r="D286" s="399">
        <v>4670.97</v>
      </c>
      <c r="E286" s="399">
        <v>0</v>
      </c>
      <c r="F286" s="399">
        <v>0</v>
      </c>
      <c r="G286" s="524">
        <f t="shared" si="23"/>
        <v>4670.97</v>
      </c>
      <c r="H286" s="406"/>
      <c r="I286" s="407"/>
      <c r="J286" s="407"/>
      <c r="K286" s="406">
        <f t="shared" si="20"/>
        <v>4670.97</v>
      </c>
      <c r="L286" s="406">
        <f t="shared" si="21"/>
        <v>0</v>
      </c>
      <c r="M286" s="406">
        <f t="shared" si="22"/>
        <v>0</v>
      </c>
      <c r="N286" s="398" t="s">
        <v>3309</v>
      </c>
      <c r="O286" s="398"/>
      <c r="P286" s="403">
        <f>SUMIF('Antelope Bailey Split BA'!$B$7:$B$29,B286,'Antelope Bailey Split BA'!$C$7:$C$29)</f>
        <v>0</v>
      </c>
      <c r="Q286" s="403" t="str">
        <f>IF(AND(P286=1,'Plant Total by Account'!$H$1=2),"EKWRA","")</f>
        <v/>
      </c>
      <c r="S286" s="403">
        <f>SUMIF('ISO w_System Splits'!$D$524:$D$615,B286,'ISO w_System Splits'!$P$524:$P$615)</f>
        <v>0</v>
      </c>
      <c r="T286" s="403" t="str">
        <f>IF(AND(S286&lt;&gt;0,'Plant Total by Account'!$H$1=2),"EKWRA TL Change","")</f>
        <v/>
      </c>
      <c r="V286" s="77">
        <v>8558</v>
      </c>
      <c r="W286" s="404">
        <f t="shared" si="24"/>
        <v>0</v>
      </c>
    </row>
    <row r="287" spans="1:23" ht="12.75" customHeight="1" x14ac:dyDescent="0.2">
      <c r="A287" s="386" t="s">
        <v>2606</v>
      </c>
      <c r="B287" s="398" t="s">
        <v>955</v>
      </c>
      <c r="C287" s="398" t="s">
        <v>3334</v>
      </c>
      <c r="D287" s="399">
        <v>1188141.7899999998</v>
      </c>
      <c r="E287" s="399">
        <v>0</v>
      </c>
      <c r="F287" s="399">
        <v>0</v>
      </c>
      <c r="G287" s="524">
        <f t="shared" si="23"/>
        <v>1188141.7899999998</v>
      </c>
      <c r="H287" s="406"/>
      <c r="I287" s="407"/>
      <c r="J287" s="407"/>
      <c r="K287" s="406">
        <f t="shared" si="20"/>
        <v>1188141.7899999998</v>
      </c>
      <c r="L287" s="406">
        <f t="shared" si="21"/>
        <v>0</v>
      </c>
      <c r="M287" s="406">
        <f t="shared" si="22"/>
        <v>0</v>
      </c>
      <c r="N287" s="398" t="s">
        <v>3309</v>
      </c>
      <c r="O287" s="398"/>
      <c r="P287" s="403">
        <f>SUMIF('Antelope Bailey Split BA'!$B$7:$B$29,B287,'Antelope Bailey Split BA'!$C$7:$C$29)</f>
        <v>0</v>
      </c>
      <c r="Q287" s="403" t="str">
        <f>IF(AND(P287=1,'Plant Total by Account'!$H$1=2),"EKWRA","")</f>
        <v/>
      </c>
      <c r="S287" s="403">
        <f>SUMIF('ISO w_System Splits'!$D$524:$D$615,B287,'ISO w_System Splits'!$P$524:$P$615)</f>
        <v>0</v>
      </c>
      <c r="T287" s="403" t="str">
        <f>IF(AND(S287&lt;&gt;0,'Plant Total by Account'!$H$1=2),"EKWRA TL Change","")</f>
        <v/>
      </c>
      <c r="V287" s="77">
        <v>8810</v>
      </c>
      <c r="W287" s="404">
        <f t="shared" si="24"/>
        <v>0</v>
      </c>
    </row>
    <row r="288" spans="1:23" ht="12.75" customHeight="1" x14ac:dyDescent="0.2">
      <c r="A288" s="386" t="s">
        <v>2610</v>
      </c>
      <c r="B288" s="398" t="s">
        <v>1259</v>
      </c>
      <c r="C288" s="398" t="s">
        <v>2611</v>
      </c>
      <c r="D288" s="399">
        <v>0</v>
      </c>
      <c r="E288" s="399">
        <v>0</v>
      </c>
      <c r="F288" s="399">
        <v>556935.62000000011</v>
      </c>
      <c r="G288" s="524">
        <f t="shared" si="23"/>
        <v>556935.62000000011</v>
      </c>
      <c r="H288" s="406"/>
      <c r="I288" s="407"/>
      <c r="J288" s="407"/>
      <c r="K288" s="406">
        <f t="shared" si="20"/>
        <v>0</v>
      </c>
      <c r="L288" s="406">
        <f t="shared" si="21"/>
        <v>0</v>
      </c>
      <c r="M288" s="406">
        <f t="shared" si="22"/>
        <v>556935.62000000011</v>
      </c>
      <c r="N288" s="398" t="s">
        <v>3309</v>
      </c>
      <c r="O288" s="398"/>
      <c r="P288" s="403">
        <f>SUMIF('Antelope Bailey Split BA'!$B$7:$B$29,B288,'Antelope Bailey Split BA'!$C$7:$C$29)</f>
        <v>0</v>
      </c>
      <c r="Q288" s="403" t="str">
        <f>IF(AND(P288=1,'Plant Total by Account'!$H$1=2),"EKWRA","")</f>
        <v/>
      </c>
      <c r="S288" s="403">
        <f>SUMIF('ISO w_System Splits'!$D$524:$D$615,B288,'ISO w_System Splits'!$P$524:$P$615)</f>
        <v>0</v>
      </c>
      <c r="T288" s="403" t="str">
        <f>IF(AND(S288&lt;&gt;0,'Plant Total by Account'!$H$1=2),"EKWRA TL Change","")</f>
        <v/>
      </c>
      <c r="V288" s="77">
        <v>9009</v>
      </c>
      <c r="W288" s="404">
        <f t="shared" si="24"/>
        <v>0</v>
      </c>
    </row>
    <row r="289" spans="1:23" ht="12.75" customHeight="1" x14ac:dyDescent="0.2">
      <c r="A289" s="386" t="s">
        <v>2613</v>
      </c>
      <c r="B289" s="398" t="s">
        <v>970</v>
      </c>
      <c r="C289" s="398" t="s">
        <v>2252</v>
      </c>
      <c r="D289" s="399">
        <v>327825.73</v>
      </c>
      <c r="E289" s="399">
        <v>0</v>
      </c>
      <c r="F289" s="399">
        <v>0</v>
      </c>
      <c r="G289" s="524">
        <f t="shared" si="23"/>
        <v>327825.73</v>
      </c>
      <c r="H289" s="406"/>
      <c r="I289" s="407"/>
      <c r="J289" s="407"/>
      <c r="K289" s="406">
        <f t="shared" si="20"/>
        <v>327825.73</v>
      </c>
      <c r="L289" s="406">
        <f t="shared" si="21"/>
        <v>0</v>
      </c>
      <c r="M289" s="406">
        <f t="shared" si="22"/>
        <v>0</v>
      </c>
      <c r="N289" s="398" t="s">
        <v>3309</v>
      </c>
      <c r="O289" s="398"/>
      <c r="P289" s="403">
        <f>SUMIF('Antelope Bailey Split BA'!$B$7:$B$29,B289,'Antelope Bailey Split BA'!$C$7:$C$29)</f>
        <v>0</v>
      </c>
      <c r="Q289" s="403" t="str">
        <f>IF(AND(P289=1,'Plant Total by Account'!$H$1=2),"EKWRA","")</f>
        <v/>
      </c>
      <c r="S289" s="403">
        <f>SUMIF('ISO w_System Splits'!$D$524:$D$615,B289,'ISO w_System Splits'!$P$524:$P$615)</f>
        <v>0</v>
      </c>
      <c r="T289" s="403" t="str">
        <f>IF(AND(S289&lt;&gt;0,'Plant Total by Account'!$H$1=2),"EKWRA TL Change","")</f>
        <v/>
      </c>
      <c r="V289" s="77">
        <v>9310</v>
      </c>
      <c r="W289" s="404">
        <f t="shared" si="24"/>
        <v>0</v>
      </c>
    </row>
    <row r="290" spans="1:23" ht="12.75" customHeight="1" x14ac:dyDescent="0.2">
      <c r="A290" s="386" t="s">
        <v>2614</v>
      </c>
      <c r="B290" s="398" t="s">
        <v>974</v>
      </c>
      <c r="C290" s="398" t="s">
        <v>2611</v>
      </c>
      <c r="D290" s="399">
        <v>631.3900000000001</v>
      </c>
      <c r="E290" s="399">
        <v>0</v>
      </c>
      <c r="F290" s="399">
        <v>0</v>
      </c>
      <c r="G290" s="524">
        <f t="shared" si="23"/>
        <v>631.3900000000001</v>
      </c>
      <c r="H290" s="406"/>
      <c r="I290" s="407"/>
      <c r="J290" s="407"/>
      <c r="K290" s="406">
        <f t="shared" si="20"/>
        <v>631.3900000000001</v>
      </c>
      <c r="L290" s="406">
        <f t="shared" si="21"/>
        <v>0</v>
      </c>
      <c r="M290" s="406">
        <f t="shared" si="22"/>
        <v>0</v>
      </c>
      <c r="N290" s="398" t="s">
        <v>3309</v>
      </c>
      <c r="O290" s="398"/>
      <c r="P290" s="403">
        <f>SUMIF('Antelope Bailey Split BA'!$B$7:$B$29,B290,'Antelope Bailey Split BA'!$C$7:$C$29)</f>
        <v>0</v>
      </c>
      <c r="Q290" s="403" t="str">
        <f>IF(AND(P290=1,'Plant Total by Account'!$H$1=2),"EKWRA","")</f>
        <v/>
      </c>
      <c r="S290" s="403">
        <f>SUMIF('ISO w_System Splits'!$D$524:$D$615,B290,'ISO w_System Splits'!$P$524:$P$615)</f>
        <v>0</v>
      </c>
      <c r="T290" s="403" t="str">
        <f>IF(AND(S290&lt;&gt;0,'Plant Total by Account'!$H$1=2),"EKWRA TL Change","")</f>
        <v/>
      </c>
      <c r="V290" s="77">
        <v>9900</v>
      </c>
      <c r="W290" s="404">
        <f t="shared" si="24"/>
        <v>0</v>
      </c>
    </row>
    <row r="291" spans="1:23" ht="12.75" customHeight="1" x14ac:dyDescent="0.2">
      <c r="A291" s="411" t="s">
        <v>2276</v>
      </c>
      <c r="B291" s="398" t="s">
        <v>1062</v>
      </c>
      <c r="C291" s="398" t="s">
        <v>3334</v>
      </c>
      <c r="D291" s="412">
        <v>0</v>
      </c>
      <c r="E291" s="413">
        <v>4183.66</v>
      </c>
      <c r="F291" s="413">
        <v>354262.18000000011</v>
      </c>
      <c r="G291" s="524">
        <f>SUM(D291:F291)</f>
        <v>358445.84000000008</v>
      </c>
      <c r="H291" s="406">
        <f>IF($Q291="EKWRA",SUMIF('Antelope Bailey Split BA'!$B$7:$B$29,$B291,'Antelope Bailey Split BA'!$AE$7:$AE$29),0)</f>
        <v>0</v>
      </c>
      <c r="I291" s="406">
        <f>IF($Q291="EKWRA",SUMIF('Antelope Bailey Split BA'!$B$7:$B$29,$B291,'Antelope Bailey Split BA'!$AF$7:$AF$29),0)</f>
        <v>2138.0428429581966</v>
      </c>
      <c r="J291" s="406">
        <f>IF($Q291="EKWRA",SUMIF('Antelope Bailey Split BA'!$B$7:$B$29,$B291,'Antelope Bailey Split BA'!$AG$7:$AG$29),0)</f>
        <v>181855.91936040806</v>
      </c>
      <c r="K291" s="406">
        <f>IF(Q291="EKWRA",SUMIF('Antelope Bailey Split BA'!$B$7:$B$29,B291,'Antelope Bailey Split BA'!$AH$7:$AH$29)+SUMIF('Antelope Bailey Split BA'!$B$7:$B$29,B291,'Antelope Bailey Split BA'!$AB$7:$AB$29),$D291)</f>
        <v>0</v>
      </c>
      <c r="L291" s="406">
        <f>IF(Q291="EKWRA",SUMIF('Antelope Bailey Split BA'!$B$7:$B$29,B291,'Antelope Bailey Split BA'!$AI$7:$AI$29)+SUMIF('Antelope Bailey Split BA'!$B$7:$B$29,B291,'Antelope Bailey Split BA'!$AC$7:$AC$29),$E291)</f>
        <v>2045.6171570418051</v>
      </c>
      <c r="M291" s="406">
        <f>IF(Q291="EKWRA",SUMIF('Antelope Bailey Split BA'!$B$7:$B$29,B291,'Antelope Bailey Split BA'!$AJ$7:$AJ$29)+SUMIF('Antelope Bailey Split BA'!$B$7:$B$29,B291,'Antelope Bailey Split BA'!$AD$7:$AD$29),$F291)</f>
        <v>172406.26063959228</v>
      </c>
      <c r="N291" s="398" t="str">
        <f t="shared" ref="N291:N307" si="25">IF(Q291="EKWRA","Mix","Non-ISO")</f>
        <v>Mix</v>
      </c>
      <c r="O291" s="402" t="s">
        <v>1477</v>
      </c>
      <c r="P291" s="403">
        <f>SUMIF('Antelope Bailey Split BA'!$B$7:$B$29,B291,'Antelope Bailey Split BA'!$C$7:$C$29)</f>
        <v>1</v>
      </c>
      <c r="Q291" s="403" t="str">
        <f>IF(AND(P291=1,'Plant Total by Account'!$H$1=2),"EKWRA","")</f>
        <v>EKWRA</v>
      </c>
      <c r="S291" s="403">
        <f>SUMIF('ISO w_System Splits'!$D$524:$D$615,B291,'ISO w_System Splits'!$P$524:$P$615)</f>
        <v>0</v>
      </c>
      <c r="T291" s="414" t="str">
        <f>IF(AND(S291&lt;&gt;0,'Plant Total by Account'!$H$1=2),"EKWRA TL Change","")</f>
        <v/>
      </c>
      <c r="U291" s="410"/>
      <c r="V291" s="77">
        <v>2313</v>
      </c>
      <c r="W291" s="404">
        <f t="shared" si="24"/>
        <v>-1.8189894035458565E-12</v>
      </c>
    </row>
    <row r="292" spans="1:23" ht="12.75" customHeight="1" x14ac:dyDescent="0.2">
      <c r="A292" s="386" t="s">
        <v>2422</v>
      </c>
      <c r="B292" s="398" t="s">
        <v>402</v>
      </c>
      <c r="C292" s="398" t="s">
        <v>3334</v>
      </c>
      <c r="D292" s="399">
        <v>0</v>
      </c>
      <c r="E292" s="399">
        <v>0</v>
      </c>
      <c r="F292" s="399">
        <v>50024.65</v>
      </c>
      <c r="G292" s="524">
        <f t="shared" si="23"/>
        <v>50024.65</v>
      </c>
      <c r="H292" s="406">
        <f>IF($Q292="EKWRA",SUMIF('Antelope Bailey Split BA'!$B$7:$B$29,$B292,'Antelope Bailey Split BA'!$AE$7:$AE$29),0)</f>
        <v>0</v>
      </c>
      <c r="I292" s="406">
        <f>IF($Q292="EKWRA",SUMIF('Antelope Bailey Split BA'!$B$7:$B$29,$B292,'Antelope Bailey Split BA'!$AF$7:$AF$29),0)</f>
        <v>0</v>
      </c>
      <c r="J292" s="406">
        <f>IF($Q292="EKWRA",SUMIF('Antelope Bailey Split BA'!$B$7:$B$29,$B292,'Antelope Bailey Split BA'!$AG$7:$AG$29),0)</f>
        <v>50024.649999999994</v>
      </c>
      <c r="K292" s="406">
        <f>IF(Q292="EKWRA",SUMIF('Antelope Bailey Split BA'!$B$7:$B$29,B292,'Antelope Bailey Split BA'!$AH$7:$AH$29)+SUMIF('Antelope Bailey Split BA'!$B$7:$B$29,B292,'Antelope Bailey Split BA'!$AB$7:$AB$29),$D292)</f>
        <v>0</v>
      </c>
      <c r="L292" s="406">
        <f>IF(Q292="EKWRA",SUMIF('Antelope Bailey Split BA'!$B$7:$B$29,B292,'Antelope Bailey Split BA'!$AI$7:$AI$29)+SUMIF('Antelope Bailey Split BA'!$B$7:$B$29,B292,'Antelope Bailey Split BA'!$AC$7:$AC$29),$E292)</f>
        <v>0</v>
      </c>
      <c r="M292" s="406">
        <f>IF(Q292="EKWRA",SUMIF('Antelope Bailey Split BA'!$B$7:$B$29,B292,'Antelope Bailey Split BA'!$AJ$7:$AJ$29)+SUMIF('Antelope Bailey Split BA'!$B$7:$B$29,B292,'Antelope Bailey Split BA'!$AD$7:$AD$29),$F292)</f>
        <v>0</v>
      </c>
      <c r="N292" s="398" t="str">
        <f t="shared" si="25"/>
        <v>Mix</v>
      </c>
      <c r="O292" s="415" t="s">
        <v>1477</v>
      </c>
      <c r="P292" s="403">
        <f>SUMIF('Antelope Bailey Split BA'!$B$7:$B$29,B292,'Antelope Bailey Split BA'!$C$7:$C$29)</f>
        <v>1</v>
      </c>
      <c r="Q292" s="403" t="str">
        <f>IF(AND(P292=1,'Plant Total by Account'!$H$1=2),"EKWRA","")</f>
        <v>EKWRA</v>
      </c>
      <c r="S292" s="403">
        <f>SUMIF('ISO w_System Splits'!$D$524:$D$615,B292,'ISO w_System Splits'!$P$524:$P$615)</f>
        <v>0</v>
      </c>
      <c r="T292" s="403" t="str">
        <f>IF(AND(S292&lt;&gt;0,'Plant Total by Account'!$H$1=2),"EKWRA TL Change","")</f>
        <v/>
      </c>
      <c r="V292" s="77">
        <v>5357</v>
      </c>
      <c r="W292" s="404">
        <f t="shared" si="24"/>
        <v>0</v>
      </c>
    </row>
    <row r="293" spans="1:23" ht="12.75" customHeight="1" x14ac:dyDescent="0.2">
      <c r="A293" s="386" t="s">
        <v>2423</v>
      </c>
      <c r="B293" s="398" t="s">
        <v>403</v>
      </c>
      <c r="C293" s="398" t="s">
        <v>3334</v>
      </c>
      <c r="D293" s="399">
        <v>0</v>
      </c>
      <c r="E293" s="399">
        <v>0</v>
      </c>
      <c r="F293" s="399">
        <v>1245448.76</v>
      </c>
      <c r="G293" s="524">
        <f t="shared" si="23"/>
        <v>1245448.76</v>
      </c>
      <c r="H293" s="406">
        <f>IF($Q293="EKWRA",SUMIF('Antelope Bailey Split BA'!$B$7:$B$29,$B293,'Antelope Bailey Split BA'!$AE$7:$AE$29),0)</f>
        <v>0</v>
      </c>
      <c r="I293" s="406">
        <f>IF($Q293="EKWRA",SUMIF('Antelope Bailey Split BA'!$B$7:$B$29,$B293,'Antelope Bailey Split BA'!$AF$7:$AF$29),0)</f>
        <v>0</v>
      </c>
      <c r="J293" s="406">
        <f>IF($Q293="EKWRA",SUMIF('Antelope Bailey Split BA'!$B$7:$B$29,$B293,'Antelope Bailey Split BA'!$AG$7:$AG$29),0)</f>
        <v>1142050.1482824141</v>
      </c>
      <c r="K293" s="406">
        <f>IF(Q293="EKWRA",SUMIF('Antelope Bailey Split BA'!$B$7:$B$29,B293,'Antelope Bailey Split BA'!$AH$7:$AH$29)+SUMIF('Antelope Bailey Split BA'!$B$7:$B$29,B293,'Antelope Bailey Split BA'!$AB$7:$AB$29),$D293)</f>
        <v>0</v>
      </c>
      <c r="L293" s="406">
        <f>IF(Q293="EKWRA",SUMIF('Antelope Bailey Split BA'!$B$7:$B$29,B293,'Antelope Bailey Split BA'!$AI$7:$AI$29)+SUMIF('Antelope Bailey Split BA'!$B$7:$B$29,B293,'Antelope Bailey Split BA'!$AC$7:$AC$29),$E293)</f>
        <v>0</v>
      </c>
      <c r="M293" s="406">
        <f>IF(Q293="EKWRA",SUMIF('Antelope Bailey Split BA'!$B$7:$B$29,B293,'Antelope Bailey Split BA'!$AJ$7:$AJ$29)+SUMIF('Antelope Bailey Split BA'!$B$7:$B$29,B293,'Antelope Bailey Split BA'!$AD$7:$AD$29),$F293)</f>
        <v>103398.61171758593</v>
      </c>
      <c r="N293" s="398" t="str">
        <f t="shared" si="25"/>
        <v>Mix</v>
      </c>
      <c r="O293" s="415" t="s">
        <v>1477</v>
      </c>
      <c r="P293" s="403">
        <f>SUMIF('Antelope Bailey Split BA'!$B$7:$B$29,B293,'Antelope Bailey Split BA'!$C$7:$C$29)</f>
        <v>1</v>
      </c>
      <c r="Q293" s="403" t="str">
        <f>IF(AND(P293=1,'Plant Total by Account'!$H$1=2),"EKWRA","")</f>
        <v>EKWRA</v>
      </c>
      <c r="S293" s="403">
        <f>SUMIF('ISO w_System Splits'!$D$524:$D$615,B293,'ISO w_System Splits'!$P$524:$P$615)</f>
        <v>0</v>
      </c>
      <c r="T293" s="403" t="str">
        <f>IF(AND(S293&lt;&gt;0,'Plant Total by Account'!$H$1=2),"EKWRA TL Change","")</f>
        <v/>
      </c>
      <c r="V293" s="77">
        <v>5358</v>
      </c>
      <c r="W293" s="404">
        <f t="shared" si="24"/>
        <v>0</v>
      </c>
    </row>
    <row r="294" spans="1:23" ht="12.75" customHeight="1" x14ac:dyDescent="0.2">
      <c r="A294" s="386" t="s">
        <v>2424</v>
      </c>
      <c r="B294" s="398" t="s">
        <v>408</v>
      </c>
      <c r="C294" s="398" t="s">
        <v>3334</v>
      </c>
      <c r="D294" s="399">
        <v>24167.43</v>
      </c>
      <c r="E294" s="399">
        <v>0</v>
      </c>
      <c r="F294" s="399">
        <v>0</v>
      </c>
      <c r="G294" s="524">
        <f t="shared" si="23"/>
        <v>24167.43</v>
      </c>
      <c r="H294" s="406">
        <f>IF($Q294="EKWRA",SUMIF('Antelope Bailey Split BA'!$B$7:$B$29,$B294,'Antelope Bailey Split BA'!$AE$7:$AE$29),0)</f>
        <v>3768.4967583776702</v>
      </c>
      <c r="I294" s="406">
        <f>IF($Q294="EKWRA",SUMIF('Antelope Bailey Split BA'!$B$7:$B$29,$B294,'Antelope Bailey Split BA'!$AF$7:$AF$29),0)</f>
        <v>0</v>
      </c>
      <c r="J294" s="406">
        <f>IF($Q294="EKWRA",SUMIF('Antelope Bailey Split BA'!$B$7:$B$29,$B294,'Antelope Bailey Split BA'!$AG$7:$AG$29),0)</f>
        <v>0</v>
      </c>
      <c r="K294" s="406">
        <f>IF(Q294="EKWRA",SUMIF('Antelope Bailey Split BA'!$B$7:$B$29,B294,'Antelope Bailey Split BA'!$AH$7:$AH$29)+SUMIF('Antelope Bailey Split BA'!$B$7:$B$29,B294,'Antelope Bailey Split BA'!$AB$7:$AB$29),$D294)</f>
        <v>20398.93324162233</v>
      </c>
      <c r="L294" s="406">
        <f>IF(Q294="EKWRA",SUMIF('Antelope Bailey Split BA'!$B$7:$B$29,B294,'Antelope Bailey Split BA'!$AI$7:$AI$29)+SUMIF('Antelope Bailey Split BA'!$B$7:$B$29,B294,'Antelope Bailey Split BA'!$AC$7:$AC$29),$E294)</f>
        <v>0</v>
      </c>
      <c r="M294" s="406">
        <f>IF(Q294="EKWRA",SUMIF('Antelope Bailey Split BA'!$B$7:$B$29,B294,'Antelope Bailey Split BA'!$AJ$7:$AJ$29)+SUMIF('Antelope Bailey Split BA'!$B$7:$B$29,B294,'Antelope Bailey Split BA'!$AD$7:$AD$29),$F294)</f>
        <v>0</v>
      </c>
      <c r="N294" s="398" t="str">
        <f>IF(Q294="EKWRA","Mix","Non-ISO")</f>
        <v>Mix</v>
      </c>
      <c r="O294" s="398" t="s">
        <v>1477</v>
      </c>
      <c r="P294" s="403">
        <f>SUMIF('Antelope Bailey Split BA'!$B$7:$B$29,B294,'Antelope Bailey Split BA'!$C$7:$C$29)</f>
        <v>1</v>
      </c>
      <c r="Q294" s="403" t="str">
        <f>IF(AND(P294=1,'Plant Total by Account'!$H$1=2),"EKWRA","")</f>
        <v>EKWRA</v>
      </c>
      <c r="S294" s="403">
        <f>SUMIF('ISO w_System Splits'!$D$524:$D$615,B294,'ISO w_System Splits'!$P$524:$P$615)</f>
        <v>0</v>
      </c>
      <c r="T294" s="403" t="str">
        <f>IF(AND(S294&lt;&gt;0,'Plant Total by Account'!$H$1=2),"EKWRA TL Change","")</f>
        <v/>
      </c>
      <c r="V294" s="77">
        <v>5365</v>
      </c>
      <c r="W294" s="404">
        <f t="shared" si="24"/>
        <v>0</v>
      </c>
    </row>
    <row r="295" spans="1:23" ht="12.75" customHeight="1" x14ac:dyDescent="0.2">
      <c r="A295" s="386" t="s">
        <v>2426</v>
      </c>
      <c r="B295" s="398" t="s">
        <v>442</v>
      </c>
      <c r="C295" s="398" t="s">
        <v>3334</v>
      </c>
      <c r="D295" s="399">
        <v>0</v>
      </c>
      <c r="E295" s="399">
        <v>0</v>
      </c>
      <c r="F295" s="399">
        <v>416587.12000000011</v>
      </c>
      <c r="G295" s="524">
        <f t="shared" si="23"/>
        <v>416587.12000000011</v>
      </c>
      <c r="H295" s="406">
        <f>IF($Q295="EKWRA",SUMIF('Antelope Bailey Split BA'!$B$7:$B$29,$B295,'Antelope Bailey Split BA'!$AE$7:$AE$29),0)</f>
        <v>0</v>
      </c>
      <c r="I295" s="406">
        <f>IF($Q295="EKWRA",SUMIF('Antelope Bailey Split BA'!$B$7:$B$29,$B295,'Antelope Bailey Split BA'!$AF$7:$AF$29),0)</f>
        <v>0</v>
      </c>
      <c r="J295" s="406">
        <f>IF($Q295="EKWRA",SUMIF('Antelope Bailey Split BA'!$B$7:$B$29,$B295,'Antelope Bailey Split BA'!$AG$7:$AG$29),0)</f>
        <v>392255.99567102059</v>
      </c>
      <c r="K295" s="406">
        <f>IF(Q295="EKWRA",SUMIF('Antelope Bailey Split BA'!$B$7:$B$29,B295,'Antelope Bailey Split BA'!$AH$7:$AH$29)+SUMIF('Antelope Bailey Split BA'!$B$7:$B$29,B295,'Antelope Bailey Split BA'!$AB$7:$AB$29),$D295)</f>
        <v>0</v>
      </c>
      <c r="L295" s="406">
        <f>IF(Q295="EKWRA",SUMIF('Antelope Bailey Split BA'!$B$7:$B$29,B295,'Antelope Bailey Split BA'!$AI$7:$AI$29)+SUMIF('Antelope Bailey Split BA'!$B$7:$B$29,B295,'Antelope Bailey Split BA'!$AC$7:$AC$29),$E295)</f>
        <v>0</v>
      </c>
      <c r="M295" s="406">
        <f>IF(Q295="EKWRA",SUMIF('Antelope Bailey Split BA'!$B$7:$B$29,B295,'Antelope Bailey Split BA'!$AJ$7:$AJ$29)+SUMIF('Antelope Bailey Split BA'!$B$7:$B$29,B295,'Antelope Bailey Split BA'!$AD$7:$AD$29),$F295)</f>
        <v>24331.124328979393</v>
      </c>
      <c r="N295" s="398" t="str">
        <f t="shared" si="25"/>
        <v>Mix</v>
      </c>
      <c r="O295" s="415" t="s">
        <v>1477</v>
      </c>
      <c r="P295" s="403">
        <f>SUMIF('Antelope Bailey Split BA'!$B$7:$B$29,B295,'Antelope Bailey Split BA'!$C$7:$C$29)</f>
        <v>1</v>
      </c>
      <c r="Q295" s="403" t="str">
        <f>IF(AND(P295=1,'Plant Total by Account'!$H$1=2),"EKWRA","")</f>
        <v>EKWRA</v>
      </c>
      <c r="S295" s="403">
        <f>SUMIF('ISO w_System Splits'!$D$524:$D$615,B295,'ISO w_System Splits'!$P$524:$P$615)</f>
        <v>0</v>
      </c>
      <c r="T295" s="403" t="str">
        <f>IF(AND(S295&lt;&gt;0,'Plant Total by Account'!$H$1=2),"EKWRA TL Change","")</f>
        <v/>
      </c>
      <c r="V295" s="77">
        <v>5508</v>
      </c>
      <c r="W295" s="404">
        <f t="shared" si="24"/>
        <v>0</v>
      </c>
    </row>
    <row r="296" spans="1:23" ht="12.75" customHeight="1" x14ac:dyDescent="0.2">
      <c r="A296" s="386" t="s">
        <v>2428</v>
      </c>
      <c r="B296" s="398" t="s">
        <v>451</v>
      </c>
      <c r="C296" s="398" t="s">
        <v>3334</v>
      </c>
      <c r="D296" s="399">
        <v>0</v>
      </c>
      <c r="E296" s="399">
        <v>0</v>
      </c>
      <c r="F296" s="399">
        <v>485767.81</v>
      </c>
      <c r="G296" s="524">
        <f t="shared" si="23"/>
        <v>485767.81</v>
      </c>
      <c r="H296" s="406">
        <f>IF($Q296="EKWRA",SUMIF('Antelope Bailey Split BA'!$B$7:$B$29,$B296,'Antelope Bailey Split BA'!$AE$7:$AE$29),0)</f>
        <v>0</v>
      </c>
      <c r="I296" s="406">
        <f>IF($Q296="EKWRA",SUMIF('Antelope Bailey Split BA'!$B$7:$B$29,$B296,'Antelope Bailey Split BA'!$AF$7:$AF$29),0)</f>
        <v>0</v>
      </c>
      <c r="J296" s="406">
        <f>IF($Q296="EKWRA",SUMIF('Antelope Bailey Split BA'!$B$7:$B$29,$B296,'Antelope Bailey Split BA'!$AG$7:$AG$29),0)</f>
        <v>472673.53</v>
      </c>
      <c r="K296" s="406">
        <f>IF(Q296="EKWRA",SUMIF('Antelope Bailey Split BA'!$B$7:$B$29,B296,'Antelope Bailey Split BA'!$AH$7:$AH$29)+SUMIF('Antelope Bailey Split BA'!$B$7:$B$29,B296,'Antelope Bailey Split BA'!$AB$7:$AB$29),$D296)</f>
        <v>0</v>
      </c>
      <c r="L296" s="406">
        <f>IF(Q296="EKWRA",SUMIF('Antelope Bailey Split BA'!$B$7:$B$29,B296,'Antelope Bailey Split BA'!$AI$7:$AI$29)+SUMIF('Antelope Bailey Split BA'!$B$7:$B$29,B296,'Antelope Bailey Split BA'!$AC$7:$AC$29),$E296)</f>
        <v>0</v>
      </c>
      <c r="M296" s="406">
        <f>IF(Q296="EKWRA",SUMIF('Antelope Bailey Split BA'!$B$7:$B$29,B296,'Antelope Bailey Split BA'!$AJ$7:$AJ$29)+SUMIF('Antelope Bailey Split BA'!$B$7:$B$29,B296,'Antelope Bailey Split BA'!$AD$7:$AD$29),$F296)</f>
        <v>13094.28</v>
      </c>
      <c r="N296" s="398" t="str">
        <f t="shared" si="25"/>
        <v>Mix</v>
      </c>
      <c r="O296" s="415" t="s">
        <v>1477</v>
      </c>
      <c r="P296" s="403">
        <f>SUMIF('Antelope Bailey Split BA'!$B$7:$B$29,B296,'Antelope Bailey Split BA'!$C$7:$C$29)</f>
        <v>1</v>
      </c>
      <c r="Q296" s="403" t="str">
        <f>IF(AND(P296=1,'Plant Total by Account'!$H$1=2),"EKWRA","")</f>
        <v>EKWRA</v>
      </c>
      <c r="S296" s="403">
        <f>SUMIF('ISO w_System Splits'!$D$524:$D$615,B296,'ISO w_System Splits'!$P$524:$P$615)</f>
        <v>0</v>
      </c>
      <c r="T296" s="403" t="str">
        <f>IF(AND(S296&lt;&gt;0,'Plant Total by Account'!$H$1=2),"EKWRA TL Change","")</f>
        <v/>
      </c>
      <c r="V296" s="77">
        <v>5511</v>
      </c>
      <c r="W296" s="404">
        <f t="shared" si="24"/>
        <v>0</v>
      </c>
    </row>
    <row r="297" spans="1:23" ht="12.75" customHeight="1" x14ac:dyDescent="0.2">
      <c r="A297" s="386" t="s">
        <v>2429</v>
      </c>
      <c r="B297" s="398" t="s">
        <v>453</v>
      </c>
      <c r="C297" s="398" t="s">
        <v>3334</v>
      </c>
      <c r="D297" s="399">
        <v>0</v>
      </c>
      <c r="E297" s="399">
        <v>0</v>
      </c>
      <c r="F297" s="399">
        <v>1071715.4799999993</v>
      </c>
      <c r="G297" s="524">
        <f t="shared" ref="G297:G360" si="26">SUM(D297:F297)</f>
        <v>1071715.4799999993</v>
      </c>
      <c r="H297" s="406">
        <f>IF($Q297="EKWRA",SUMIF('Antelope Bailey Split BA'!$B$7:$B$29,$B297,'Antelope Bailey Split BA'!$AE$7:$AE$29),0)</f>
        <v>0</v>
      </c>
      <c r="I297" s="406">
        <f>IF($Q297="EKWRA",SUMIF('Antelope Bailey Split BA'!$B$7:$B$29,$B297,'Antelope Bailey Split BA'!$AF$7:$AF$29),0)</f>
        <v>0</v>
      </c>
      <c r="J297" s="406">
        <f>IF($Q297="EKWRA",SUMIF('Antelope Bailey Split BA'!$B$7:$B$29,$B297,'Antelope Bailey Split BA'!$AG$7:$AG$29),0)</f>
        <v>1039386.3903554471</v>
      </c>
      <c r="K297" s="406">
        <f>IF(Q297="EKWRA",SUMIF('Antelope Bailey Split BA'!$B$7:$B$29,B297,'Antelope Bailey Split BA'!$AH$7:$AH$29)+SUMIF('Antelope Bailey Split BA'!$B$7:$B$29,B297,'Antelope Bailey Split BA'!$AB$7:$AB$29),$D297)</f>
        <v>0</v>
      </c>
      <c r="L297" s="406">
        <f>IF(Q297="EKWRA",SUMIF('Antelope Bailey Split BA'!$B$7:$B$29,B297,'Antelope Bailey Split BA'!$AI$7:$AI$29)+SUMIF('Antelope Bailey Split BA'!$B$7:$B$29,B297,'Antelope Bailey Split BA'!$AC$7:$AC$29),$E297)</f>
        <v>0</v>
      </c>
      <c r="M297" s="406">
        <f>IF(Q297="EKWRA",SUMIF('Antelope Bailey Split BA'!$B$7:$B$29,B297,'Antelope Bailey Split BA'!$AJ$7:$AJ$29)+SUMIF('Antelope Bailey Split BA'!$B$7:$B$29,B297,'Antelope Bailey Split BA'!$AD$7:$AD$29),$F297)</f>
        <v>32329.089644553038</v>
      </c>
      <c r="N297" s="398" t="str">
        <f t="shared" si="25"/>
        <v>Mix</v>
      </c>
      <c r="O297" s="415" t="s">
        <v>1477</v>
      </c>
      <c r="P297" s="403">
        <f>SUMIF('Antelope Bailey Split BA'!$B$7:$B$29,B297,'Antelope Bailey Split BA'!$C$7:$C$29)</f>
        <v>1</v>
      </c>
      <c r="Q297" s="403" t="str">
        <f>IF(AND(P297=1,'Plant Total by Account'!$H$1=2),"EKWRA","")</f>
        <v>EKWRA</v>
      </c>
      <c r="S297" s="403">
        <f>SUMIF('ISO w_System Splits'!$D$524:$D$615,B297,'ISO w_System Splits'!$P$524:$P$615)</f>
        <v>0</v>
      </c>
      <c r="T297" s="403" t="str">
        <f>IF(AND(S297&lt;&gt;0,'Plant Total by Account'!$H$1=2),"EKWRA TL Change","")</f>
        <v/>
      </c>
      <c r="V297" s="77">
        <v>5514</v>
      </c>
      <c r="W297" s="404">
        <f t="shared" si="24"/>
        <v>0</v>
      </c>
    </row>
    <row r="298" spans="1:23" ht="12.75" customHeight="1" x14ac:dyDescent="0.2">
      <c r="A298" s="386" t="s">
        <v>2430</v>
      </c>
      <c r="B298" s="398" t="s">
        <v>457</v>
      </c>
      <c r="C298" s="398" t="s">
        <v>3334</v>
      </c>
      <c r="D298" s="399">
        <v>0</v>
      </c>
      <c r="E298" s="399">
        <v>0</v>
      </c>
      <c r="F298" s="399">
        <v>1176404.3500000001</v>
      </c>
      <c r="G298" s="524">
        <f t="shared" si="26"/>
        <v>1176404.3500000001</v>
      </c>
      <c r="H298" s="406">
        <f>IF($Q298="EKWRA",SUMIF('Antelope Bailey Split BA'!$B$7:$B$29,$B298,'Antelope Bailey Split BA'!$AE$7:$AE$29),0)</f>
        <v>0</v>
      </c>
      <c r="I298" s="406">
        <f>IF($Q298="EKWRA",SUMIF('Antelope Bailey Split BA'!$B$7:$B$29,$B298,'Antelope Bailey Split BA'!$AF$7:$AF$29),0)</f>
        <v>0</v>
      </c>
      <c r="J298" s="406">
        <f>IF($Q298="EKWRA",SUMIF('Antelope Bailey Split BA'!$B$7:$B$29,$B298,'Antelope Bailey Split BA'!$AG$7:$AG$29),0)</f>
        <v>379880.82524216734</v>
      </c>
      <c r="K298" s="406">
        <f>IF(Q298="EKWRA",SUMIF('Antelope Bailey Split BA'!$B$7:$B$29,B298,'Antelope Bailey Split BA'!$AH$7:$AH$29)+SUMIF('Antelope Bailey Split BA'!$B$7:$B$29,B298,'Antelope Bailey Split BA'!$AB$7:$AB$29),$D298)</f>
        <v>0</v>
      </c>
      <c r="L298" s="406">
        <f>IF(Q298="EKWRA",SUMIF('Antelope Bailey Split BA'!$B$7:$B$29,B298,'Antelope Bailey Split BA'!$AI$7:$AI$29)+SUMIF('Antelope Bailey Split BA'!$B$7:$B$29,B298,'Antelope Bailey Split BA'!$AC$7:$AC$29),$E298)</f>
        <v>0</v>
      </c>
      <c r="M298" s="406">
        <f>IF(Q298="EKWRA",SUMIF('Antelope Bailey Split BA'!$B$7:$B$29,B298,'Antelope Bailey Split BA'!$AJ$7:$AJ$29)+SUMIF('Antelope Bailey Split BA'!$B$7:$B$29,B298,'Antelope Bailey Split BA'!$AD$7:$AD$29),$F298)</f>
        <v>796523.52475783275</v>
      </c>
      <c r="N298" s="398" t="str">
        <f t="shared" si="25"/>
        <v>Mix</v>
      </c>
      <c r="O298" s="415" t="s">
        <v>1477</v>
      </c>
      <c r="P298" s="403">
        <f>SUMIF('Antelope Bailey Split BA'!$B$7:$B$29,B298,'Antelope Bailey Split BA'!$C$7:$C$29)</f>
        <v>1</v>
      </c>
      <c r="Q298" s="403" t="str">
        <f>IF(AND(P298=1,'Plant Total by Account'!$H$1=2),"EKWRA","")</f>
        <v>EKWRA</v>
      </c>
      <c r="S298" s="403">
        <f>SUMIF('ISO w_System Splits'!$D$524:$D$615,B298,'ISO w_System Splits'!$P$524:$P$615)</f>
        <v>0</v>
      </c>
      <c r="T298" s="403" t="str">
        <f>IF(AND(S298&lt;&gt;0,'Plant Total by Account'!$H$1=2),"EKWRA TL Change","")</f>
        <v/>
      </c>
      <c r="V298" s="77">
        <v>5518</v>
      </c>
      <c r="W298" s="404">
        <f t="shared" si="24"/>
        <v>0</v>
      </c>
    </row>
    <row r="299" spans="1:23" ht="12.75" customHeight="1" x14ac:dyDescent="0.2">
      <c r="A299" s="386" t="s">
        <v>2431</v>
      </c>
      <c r="B299" s="398" t="s">
        <v>461</v>
      </c>
      <c r="C299" s="398" t="s">
        <v>3334</v>
      </c>
      <c r="D299" s="399">
        <v>0</v>
      </c>
      <c r="E299" s="399">
        <v>0</v>
      </c>
      <c r="F299" s="399">
        <v>1018975.8400000002</v>
      </c>
      <c r="G299" s="524">
        <f t="shared" si="26"/>
        <v>1018975.8400000002</v>
      </c>
      <c r="H299" s="406">
        <f>IF($Q299="EKWRA",SUMIF('Antelope Bailey Split BA'!$B$7:$B$29,$B299,'Antelope Bailey Split BA'!$AE$7:$AE$29),0)</f>
        <v>0</v>
      </c>
      <c r="I299" s="406">
        <f>IF($Q299="EKWRA",SUMIF('Antelope Bailey Split BA'!$B$7:$B$29,$B299,'Antelope Bailey Split BA'!$AF$7:$AF$29),0)</f>
        <v>0</v>
      </c>
      <c r="J299" s="406">
        <f>IF($Q299="EKWRA",SUMIF('Antelope Bailey Split BA'!$B$7:$B$29,$B299,'Antelope Bailey Split BA'!$AG$7:$AG$29),0)</f>
        <v>798317.91000000015</v>
      </c>
      <c r="K299" s="406">
        <f>IF(Q299="EKWRA",SUMIF('Antelope Bailey Split BA'!$B$7:$B$29,B299,'Antelope Bailey Split BA'!$AH$7:$AH$29)+SUMIF('Antelope Bailey Split BA'!$B$7:$B$29,B299,'Antelope Bailey Split BA'!$AB$7:$AB$29),$D299)</f>
        <v>0</v>
      </c>
      <c r="L299" s="406">
        <f>IF(Q299="EKWRA",SUMIF('Antelope Bailey Split BA'!$B$7:$B$29,B299,'Antelope Bailey Split BA'!$AI$7:$AI$29)+SUMIF('Antelope Bailey Split BA'!$B$7:$B$29,B299,'Antelope Bailey Split BA'!$AC$7:$AC$29),$E299)</f>
        <v>0</v>
      </c>
      <c r="M299" s="406">
        <f>IF(Q299="EKWRA",SUMIF('Antelope Bailey Split BA'!$B$7:$B$29,B299,'Antelope Bailey Split BA'!$AJ$7:$AJ$29)+SUMIF('Antelope Bailey Split BA'!$B$7:$B$29,B299,'Antelope Bailey Split BA'!$AD$7:$AD$29),$F299)</f>
        <v>220657.93</v>
      </c>
      <c r="N299" s="398" t="str">
        <f t="shared" si="25"/>
        <v>Mix</v>
      </c>
      <c r="O299" s="415" t="s">
        <v>1477</v>
      </c>
      <c r="P299" s="403">
        <f>SUMIF('Antelope Bailey Split BA'!$B$7:$B$29,B299,'Antelope Bailey Split BA'!$C$7:$C$29)</f>
        <v>1</v>
      </c>
      <c r="Q299" s="403" t="str">
        <f>IF(AND(P299=1,'Plant Total by Account'!$H$1=2),"EKWRA","")</f>
        <v>EKWRA</v>
      </c>
      <c r="S299" s="403">
        <f>SUMIF('ISO w_System Splits'!$D$524:$D$615,B299,'ISO w_System Splits'!$P$524:$P$615)</f>
        <v>0</v>
      </c>
      <c r="T299" s="403" t="str">
        <f>IF(AND(S299&lt;&gt;0,'Plant Total by Account'!$H$1=2),"EKWRA TL Change","")</f>
        <v/>
      </c>
      <c r="V299" s="77">
        <v>5522</v>
      </c>
      <c r="W299" s="404">
        <f t="shared" si="24"/>
        <v>0</v>
      </c>
    </row>
    <row r="300" spans="1:23" ht="12.75" customHeight="1" x14ac:dyDescent="0.2">
      <c r="A300" s="386" t="s">
        <v>2432</v>
      </c>
      <c r="B300" s="398" t="s">
        <v>469</v>
      </c>
      <c r="C300" s="398" t="s">
        <v>3334</v>
      </c>
      <c r="D300" s="399">
        <v>0</v>
      </c>
      <c r="E300" s="399">
        <v>0</v>
      </c>
      <c r="F300" s="399">
        <v>276827.8</v>
      </c>
      <c r="G300" s="524">
        <f t="shared" si="26"/>
        <v>276827.8</v>
      </c>
      <c r="H300" s="406">
        <f>IF($Q300="EKWRA",SUMIF('Antelope Bailey Split BA'!$B$7:$B$29,$B300,'Antelope Bailey Split BA'!$AE$7:$AE$29),0)</f>
        <v>0</v>
      </c>
      <c r="I300" s="406">
        <f>IF($Q300="EKWRA",SUMIF('Antelope Bailey Split BA'!$B$7:$B$29,$B300,'Antelope Bailey Split BA'!$AF$7:$AF$29),0)</f>
        <v>0</v>
      </c>
      <c r="J300" s="406">
        <f>IF($Q300="EKWRA",SUMIF('Antelope Bailey Split BA'!$B$7:$B$29,$B300,'Antelope Bailey Split BA'!$AG$7:$AG$29),0)</f>
        <v>276510.14732640772</v>
      </c>
      <c r="K300" s="406">
        <f>IF(Q300="EKWRA",SUMIF('Antelope Bailey Split BA'!$B$7:$B$29,B300,'Antelope Bailey Split BA'!$AH$7:$AH$29)+SUMIF('Antelope Bailey Split BA'!$B$7:$B$29,B300,'Antelope Bailey Split BA'!$AB$7:$AB$29),$D300)</f>
        <v>0</v>
      </c>
      <c r="L300" s="406">
        <f>IF(Q300="EKWRA",SUMIF('Antelope Bailey Split BA'!$B$7:$B$29,B300,'Antelope Bailey Split BA'!$AI$7:$AI$29)+SUMIF('Antelope Bailey Split BA'!$B$7:$B$29,B300,'Antelope Bailey Split BA'!$AC$7:$AC$29),$E300)</f>
        <v>0</v>
      </c>
      <c r="M300" s="406">
        <f>IF(Q300="EKWRA",SUMIF('Antelope Bailey Split BA'!$B$7:$B$29,B300,'Antelope Bailey Split BA'!$AJ$7:$AJ$29)+SUMIF('Antelope Bailey Split BA'!$B$7:$B$29,B300,'Antelope Bailey Split BA'!$AD$7:$AD$29),$F300)</f>
        <v>317.65267359228733</v>
      </c>
      <c r="N300" s="398" t="str">
        <f t="shared" si="25"/>
        <v>Mix</v>
      </c>
      <c r="O300" s="415" t="s">
        <v>1477</v>
      </c>
      <c r="P300" s="403">
        <f>SUMIF('Antelope Bailey Split BA'!$B$7:$B$29,B300,'Antelope Bailey Split BA'!$C$7:$C$29)</f>
        <v>1</v>
      </c>
      <c r="Q300" s="403" t="str">
        <f>IF(AND(P300=1,'Plant Total by Account'!$H$1=2),"EKWRA","")</f>
        <v>EKWRA</v>
      </c>
      <c r="S300" s="403">
        <f>SUMIF('ISO w_System Splits'!$D$524:$D$615,B300,'ISO w_System Splits'!$P$524:$P$615)</f>
        <v>0</v>
      </c>
      <c r="T300" s="403" t="str">
        <f>IF(AND(S300&lt;&gt;0,'Plant Total by Account'!$H$1=2),"EKWRA TL Change","")</f>
        <v/>
      </c>
      <c r="V300" s="77">
        <v>5530</v>
      </c>
      <c r="W300" s="404">
        <f t="shared" si="24"/>
        <v>0</v>
      </c>
    </row>
    <row r="301" spans="1:23" ht="12.75" customHeight="1" x14ac:dyDescent="0.2">
      <c r="A301" s="386" t="s">
        <v>2433</v>
      </c>
      <c r="B301" s="398" t="s">
        <v>477</v>
      </c>
      <c r="C301" s="398" t="s">
        <v>3334</v>
      </c>
      <c r="D301" s="399">
        <v>0</v>
      </c>
      <c r="E301" s="399">
        <v>0</v>
      </c>
      <c r="F301" s="399">
        <v>560191.65000000014</v>
      </c>
      <c r="G301" s="524">
        <f t="shared" si="26"/>
        <v>560191.65000000014</v>
      </c>
      <c r="H301" s="406">
        <f>IF($Q301="EKWRA",SUMIF('Antelope Bailey Split BA'!$B$7:$B$29,$B301,'Antelope Bailey Split BA'!$AE$7:$AE$29),0)</f>
        <v>0</v>
      </c>
      <c r="I301" s="406">
        <f>IF($Q301="EKWRA",SUMIF('Antelope Bailey Split BA'!$B$7:$B$29,$B301,'Antelope Bailey Split BA'!$AF$7:$AF$29),0)</f>
        <v>0</v>
      </c>
      <c r="J301" s="406">
        <f>IF($Q301="EKWRA",SUMIF('Antelope Bailey Split BA'!$B$7:$B$29,$B301,'Antelope Bailey Split BA'!$AG$7:$AG$29),0)</f>
        <v>560191.65</v>
      </c>
      <c r="K301" s="406">
        <f>IF(Q301="EKWRA",SUMIF('Antelope Bailey Split BA'!$B$7:$B$29,B301,'Antelope Bailey Split BA'!$AH$7:$AH$29)+SUMIF('Antelope Bailey Split BA'!$B$7:$B$29,B301,'Antelope Bailey Split BA'!$AB$7:$AB$29),$D301)</f>
        <v>0</v>
      </c>
      <c r="L301" s="406">
        <f>IF(Q301="EKWRA",SUMIF('Antelope Bailey Split BA'!$B$7:$B$29,B301,'Antelope Bailey Split BA'!$AI$7:$AI$29)+SUMIF('Antelope Bailey Split BA'!$B$7:$B$29,B301,'Antelope Bailey Split BA'!$AC$7:$AC$29),$E301)</f>
        <v>0</v>
      </c>
      <c r="M301" s="406">
        <f>IF(Q301="EKWRA",SUMIF('Antelope Bailey Split BA'!$B$7:$B$29,B301,'Antelope Bailey Split BA'!$AJ$7:$AJ$29)+SUMIF('Antelope Bailey Split BA'!$B$7:$B$29,B301,'Antelope Bailey Split BA'!$AD$7:$AD$29),$F301)</f>
        <v>0</v>
      </c>
      <c r="N301" s="398" t="str">
        <f t="shared" si="25"/>
        <v>Mix</v>
      </c>
      <c r="O301" s="415" t="s">
        <v>1477</v>
      </c>
      <c r="P301" s="403">
        <f>SUMIF('Antelope Bailey Split BA'!$B$7:$B$29,B301,'Antelope Bailey Split BA'!$C$7:$C$29)</f>
        <v>1</v>
      </c>
      <c r="Q301" s="403" t="str">
        <f>IF(AND(P301=1,'Plant Total by Account'!$H$1=2),"EKWRA","")</f>
        <v>EKWRA</v>
      </c>
      <c r="S301" s="403">
        <f>SUMIF('ISO w_System Splits'!$D$524:$D$615,B301,'ISO w_System Splits'!$P$524:$P$615)</f>
        <v>0</v>
      </c>
      <c r="T301" s="403" t="str">
        <f>IF(AND(S301&lt;&gt;0,'Plant Total by Account'!$H$1=2),"EKWRA TL Change","")</f>
        <v/>
      </c>
      <c r="V301" s="77">
        <v>5541</v>
      </c>
      <c r="W301" s="404">
        <f t="shared" si="24"/>
        <v>0</v>
      </c>
    </row>
    <row r="302" spans="1:23" ht="12.75" customHeight="1" x14ac:dyDescent="0.2">
      <c r="A302" s="386" t="s">
        <v>2434</v>
      </c>
      <c r="B302" s="398" t="s">
        <v>481</v>
      </c>
      <c r="C302" s="398" t="s">
        <v>3334</v>
      </c>
      <c r="D302" s="399">
        <v>0</v>
      </c>
      <c r="E302" s="399">
        <v>0</v>
      </c>
      <c r="F302" s="399">
        <v>140208.6</v>
      </c>
      <c r="G302" s="524">
        <f t="shared" si="26"/>
        <v>140208.6</v>
      </c>
      <c r="H302" s="406">
        <f>IF($Q302="EKWRA",SUMIF('Antelope Bailey Split BA'!$B$7:$B$29,$B302,'Antelope Bailey Split BA'!$AE$7:$AE$29),0)</f>
        <v>0</v>
      </c>
      <c r="I302" s="406">
        <f>IF($Q302="EKWRA",SUMIF('Antelope Bailey Split BA'!$B$7:$B$29,$B302,'Antelope Bailey Split BA'!$AF$7:$AF$29),0)</f>
        <v>0</v>
      </c>
      <c r="J302" s="406">
        <f>IF($Q302="EKWRA",SUMIF('Antelope Bailey Split BA'!$B$7:$B$29,$B302,'Antelope Bailey Split BA'!$AG$7:$AG$29),0)</f>
        <v>140208.59999999998</v>
      </c>
      <c r="K302" s="406">
        <f>IF(Q302="EKWRA",SUMIF('Antelope Bailey Split BA'!$B$7:$B$29,B302,'Antelope Bailey Split BA'!$AH$7:$AH$29)+SUMIF('Antelope Bailey Split BA'!$B$7:$B$29,B302,'Antelope Bailey Split BA'!$AB$7:$AB$29),$D302)</f>
        <v>0</v>
      </c>
      <c r="L302" s="406">
        <f>IF(Q302="EKWRA",SUMIF('Antelope Bailey Split BA'!$B$7:$B$29,B302,'Antelope Bailey Split BA'!$AI$7:$AI$29)+SUMIF('Antelope Bailey Split BA'!$B$7:$B$29,B302,'Antelope Bailey Split BA'!$AC$7:$AC$29),$E302)</f>
        <v>0</v>
      </c>
      <c r="M302" s="406">
        <f>IF(Q302="EKWRA",SUMIF('Antelope Bailey Split BA'!$B$7:$B$29,B302,'Antelope Bailey Split BA'!$AJ$7:$AJ$29)+SUMIF('Antelope Bailey Split BA'!$B$7:$B$29,B302,'Antelope Bailey Split BA'!$AD$7:$AD$29),$F302)</f>
        <v>0</v>
      </c>
      <c r="N302" s="398" t="str">
        <f t="shared" si="25"/>
        <v>Mix</v>
      </c>
      <c r="O302" s="415" t="s">
        <v>1477</v>
      </c>
      <c r="P302" s="403">
        <f>SUMIF('Antelope Bailey Split BA'!$B$7:$B$29,B302,'Antelope Bailey Split BA'!$C$7:$C$29)</f>
        <v>1</v>
      </c>
      <c r="Q302" s="403" t="str">
        <f>IF(AND(P302=1,'Plant Total by Account'!$H$1=2),"EKWRA","")</f>
        <v>EKWRA</v>
      </c>
      <c r="S302" s="403">
        <f>SUMIF('ISO w_System Splits'!$D$524:$D$615,B302,'ISO w_System Splits'!$P$524:$P$615)</f>
        <v>0</v>
      </c>
      <c r="T302" s="403" t="str">
        <f>IF(AND(S302&lt;&gt;0,'Plant Total by Account'!$H$1=2),"EKWRA TL Change","")</f>
        <v/>
      </c>
      <c r="V302" s="77">
        <v>5545</v>
      </c>
      <c r="W302" s="404">
        <f t="shared" si="24"/>
        <v>0</v>
      </c>
    </row>
    <row r="303" spans="1:23" ht="12.75" customHeight="1" x14ac:dyDescent="0.2">
      <c r="A303" s="386" t="s">
        <v>2436</v>
      </c>
      <c r="B303" s="398" t="s">
        <v>484</v>
      </c>
      <c r="C303" s="398" t="s">
        <v>3334</v>
      </c>
      <c r="D303" s="399">
        <v>0</v>
      </c>
      <c r="E303" s="399">
        <v>0</v>
      </c>
      <c r="F303" s="399">
        <v>618665.22</v>
      </c>
      <c r="G303" s="524">
        <f t="shared" si="26"/>
        <v>618665.22</v>
      </c>
      <c r="H303" s="406">
        <f>IF($Q303="EKWRA",SUMIF('Antelope Bailey Split BA'!$B$7:$B$29,$B303,'Antelope Bailey Split BA'!$AE$7:$AE$29),0)</f>
        <v>0</v>
      </c>
      <c r="I303" s="406">
        <f>IF($Q303="EKWRA",SUMIF('Antelope Bailey Split BA'!$B$7:$B$29,$B303,'Antelope Bailey Split BA'!$AF$7:$AF$29),0)</f>
        <v>0</v>
      </c>
      <c r="J303" s="406">
        <f>IF($Q303="EKWRA",SUMIF('Antelope Bailey Split BA'!$B$7:$B$29,$B303,'Antelope Bailey Split BA'!$AG$7:$AG$29),0)</f>
        <v>395907.39046852052</v>
      </c>
      <c r="K303" s="406">
        <f>IF(Q303="EKWRA",SUMIF('Antelope Bailey Split BA'!$B$7:$B$29,B303,'Antelope Bailey Split BA'!$AH$7:$AH$29)+SUMIF('Antelope Bailey Split BA'!$B$7:$B$29,B303,'Antelope Bailey Split BA'!$AB$7:$AB$29),$D303)</f>
        <v>0</v>
      </c>
      <c r="L303" s="406">
        <f>IF(Q303="EKWRA",SUMIF('Antelope Bailey Split BA'!$B$7:$B$29,B303,'Antelope Bailey Split BA'!$AI$7:$AI$29)+SUMIF('Antelope Bailey Split BA'!$B$7:$B$29,B303,'Antelope Bailey Split BA'!$AC$7:$AC$29),$E303)</f>
        <v>0</v>
      </c>
      <c r="M303" s="406">
        <f>IF(Q303="EKWRA",SUMIF('Antelope Bailey Split BA'!$B$7:$B$29,B303,'Antelope Bailey Split BA'!$AJ$7:$AJ$29)+SUMIF('Antelope Bailey Split BA'!$B$7:$B$29,B303,'Antelope Bailey Split BA'!$AD$7:$AD$29),$F303)</f>
        <v>222757.82953147951</v>
      </c>
      <c r="N303" s="398" t="str">
        <f t="shared" si="25"/>
        <v>Mix</v>
      </c>
      <c r="O303" s="415" t="s">
        <v>1477</v>
      </c>
      <c r="P303" s="403">
        <f>SUMIF('Antelope Bailey Split BA'!$B$7:$B$29,B303,'Antelope Bailey Split BA'!$C$7:$C$29)</f>
        <v>1</v>
      </c>
      <c r="Q303" s="403" t="str">
        <f>IF(AND(P303=1,'Plant Total by Account'!$H$1=2),"EKWRA","")</f>
        <v>EKWRA</v>
      </c>
      <c r="S303" s="403">
        <f>SUMIF('ISO w_System Splits'!$D$524:$D$615,B303,'ISO w_System Splits'!$P$524:$P$615)</f>
        <v>0</v>
      </c>
      <c r="T303" s="403" t="str">
        <f>IF(AND(S303&lt;&gt;0,'Plant Total by Account'!$H$1=2),"EKWRA TL Change","")</f>
        <v/>
      </c>
      <c r="V303" s="77">
        <v>5548</v>
      </c>
      <c r="W303" s="404">
        <f t="shared" si="24"/>
        <v>0</v>
      </c>
    </row>
    <row r="304" spans="1:23" ht="12.75" customHeight="1" x14ac:dyDescent="0.2">
      <c r="A304" s="386" t="s">
        <v>2437</v>
      </c>
      <c r="B304" s="398" t="s">
        <v>489</v>
      </c>
      <c r="C304" s="398" t="s">
        <v>3334</v>
      </c>
      <c r="D304" s="399">
        <v>0</v>
      </c>
      <c r="E304" s="399">
        <v>4528.7300000000005</v>
      </c>
      <c r="F304" s="399">
        <v>231734.50000000003</v>
      </c>
      <c r="G304" s="524">
        <f t="shared" si="26"/>
        <v>236263.23000000004</v>
      </c>
      <c r="H304" s="406">
        <f>IF($Q304="EKWRA",SUMIF('Antelope Bailey Split BA'!$B$7:$B$29,$B304,'Antelope Bailey Split BA'!$AE$7:$AE$29),0)</f>
        <v>0</v>
      </c>
      <c r="I304" s="406">
        <f>IF($Q304="EKWRA",SUMIF('Antelope Bailey Split BA'!$B$7:$B$29,$B304,'Antelope Bailey Split BA'!$AF$7:$AF$29),0)</f>
        <v>2432.6344688971785</v>
      </c>
      <c r="J304" s="406">
        <f>IF($Q304="EKWRA",SUMIF('Antelope Bailey Split BA'!$B$7:$B$29,$B304,'Antelope Bailey Split BA'!$AG$7:$AG$29),0)</f>
        <v>231734.5</v>
      </c>
      <c r="K304" s="406">
        <f>IF(Q304="EKWRA",SUMIF('Antelope Bailey Split BA'!$B$7:$B$29,B304,'Antelope Bailey Split BA'!$AH$7:$AH$29)+SUMIF('Antelope Bailey Split BA'!$B$7:$B$29,B304,'Antelope Bailey Split BA'!$AB$7:$AB$29),$D304)</f>
        <v>0</v>
      </c>
      <c r="L304" s="406">
        <f>IF(Q304="EKWRA",SUMIF('Antelope Bailey Split BA'!$B$7:$B$29,B304,'Antelope Bailey Split BA'!$AI$7:$AI$29)+SUMIF('Antelope Bailey Split BA'!$B$7:$B$29,B304,'Antelope Bailey Split BA'!$AC$7:$AC$29),$E304)</f>
        <v>2096.095531102821</v>
      </c>
      <c r="M304" s="406">
        <f>IF(Q304="EKWRA",SUMIF('Antelope Bailey Split BA'!$B$7:$B$29,B304,'Antelope Bailey Split BA'!$AJ$7:$AJ$29)+SUMIF('Antelope Bailey Split BA'!$B$7:$B$29,B304,'Antelope Bailey Split BA'!$AD$7:$AD$29),$F304)</f>
        <v>0</v>
      </c>
      <c r="N304" s="398" t="str">
        <f t="shared" si="25"/>
        <v>Mix</v>
      </c>
      <c r="O304" s="415" t="s">
        <v>1477</v>
      </c>
      <c r="P304" s="403">
        <f>SUMIF('Antelope Bailey Split BA'!$B$7:$B$29,B304,'Antelope Bailey Split BA'!$C$7:$C$29)</f>
        <v>1</v>
      </c>
      <c r="Q304" s="403" t="str">
        <f>IF(AND(P304=1,'Plant Total by Account'!$H$1=2),"EKWRA","")</f>
        <v>EKWRA</v>
      </c>
      <c r="S304" s="403">
        <f>SUMIF('ISO w_System Splits'!$D$524:$D$615,B304,'ISO w_System Splits'!$P$524:$P$615)</f>
        <v>0</v>
      </c>
      <c r="T304" s="403" t="str">
        <f>IF(AND(S304&lt;&gt;0,'Plant Total by Account'!$H$1=2),"EKWRA TL Change","")</f>
        <v/>
      </c>
      <c r="V304" s="77">
        <v>5553</v>
      </c>
      <c r="W304" s="404">
        <f t="shared" si="24"/>
        <v>0</v>
      </c>
    </row>
    <row r="305" spans="1:23" ht="12.75" customHeight="1" x14ac:dyDescent="0.2">
      <c r="A305" s="386" t="s">
        <v>2440</v>
      </c>
      <c r="B305" s="398" t="s">
        <v>498</v>
      </c>
      <c r="C305" s="398" t="s">
        <v>3334</v>
      </c>
      <c r="D305" s="399">
        <v>0</v>
      </c>
      <c r="E305" s="399">
        <v>0</v>
      </c>
      <c r="F305" s="399">
        <v>713949.48</v>
      </c>
      <c r="G305" s="524">
        <f t="shared" si="26"/>
        <v>713949.48</v>
      </c>
      <c r="H305" s="406">
        <f>IF($Q305="EKWRA",SUMIF('Antelope Bailey Split BA'!$B$7:$B$29,$B305,'Antelope Bailey Split BA'!$AE$7:$AE$29),0)</f>
        <v>0</v>
      </c>
      <c r="I305" s="406">
        <f>IF($Q305="EKWRA",SUMIF('Antelope Bailey Split BA'!$B$7:$B$29,$B305,'Antelope Bailey Split BA'!$AF$7:$AF$29),0)</f>
        <v>0</v>
      </c>
      <c r="J305" s="406">
        <f>IF($Q305="EKWRA",SUMIF('Antelope Bailey Split BA'!$B$7:$B$29,$B305,'Antelope Bailey Split BA'!$AG$7:$AG$29),0)</f>
        <v>688370.26042784587</v>
      </c>
      <c r="K305" s="406">
        <f>IF(Q305="EKWRA",SUMIF('Antelope Bailey Split BA'!$B$7:$B$29,B305,'Antelope Bailey Split BA'!$AH$7:$AH$29)+SUMIF('Antelope Bailey Split BA'!$B$7:$B$29,B305,'Antelope Bailey Split BA'!$AB$7:$AB$29),$D305)</f>
        <v>0</v>
      </c>
      <c r="L305" s="406">
        <f>IF(Q305="EKWRA",SUMIF('Antelope Bailey Split BA'!$B$7:$B$29,B305,'Antelope Bailey Split BA'!$AI$7:$AI$29)+SUMIF('Antelope Bailey Split BA'!$B$7:$B$29,B305,'Antelope Bailey Split BA'!$AC$7:$AC$29),$E305)</f>
        <v>0</v>
      </c>
      <c r="M305" s="406">
        <f>IF(Q305="EKWRA",SUMIF('Antelope Bailey Split BA'!$B$7:$B$29,B305,'Antelope Bailey Split BA'!$AJ$7:$AJ$29)+SUMIF('Antelope Bailey Split BA'!$B$7:$B$29,B305,'Antelope Bailey Split BA'!$AD$7:$AD$29),$F305)</f>
        <v>25579.21957215423</v>
      </c>
      <c r="N305" s="398" t="str">
        <f t="shared" si="25"/>
        <v>Mix</v>
      </c>
      <c r="O305" s="415" t="s">
        <v>1477</v>
      </c>
      <c r="P305" s="403">
        <f>SUMIF('Antelope Bailey Split BA'!$B$7:$B$29,B305,'Antelope Bailey Split BA'!$C$7:$C$29)</f>
        <v>1</v>
      </c>
      <c r="Q305" s="403" t="str">
        <f>IF(AND(P305=1,'Plant Total by Account'!$H$1=2),"EKWRA","")</f>
        <v>EKWRA</v>
      </c>
      <c r="S305" s="403">
        <f>SUMIF('ISO w_System Splits'!$D$524:$D$615,B305,'ISO w_System Splits'!$P$524:$P$615)</f>
        <v>0</v>
      </c>
      <c r="T305" s="403" t="str">
        <f>IF(AND(S305&lt;&gt;0,'Plant Total by Account'!$H$1=2),"EKWRA TL Change","")</f>
        <v/>
      </c>
      <c r="V305" s="77">
        <v>5564</v>
      </c>
      <c r="W305" s="404">
        <f t="shared" si="24"/>
        <v>0</v>
      </c>
    </row>
    <row r="306" spans="1:23" ht="12.75" customHeight="1" x14ac:dyDescent="0.2">
      <c r="A306" s="386" t="s">
        <v>2441</v>
      </c>
      <c r="B306" s="398" t="s">
        <v>500</v>
      </c>
      <c r="C306" s="398" t="s">
        <v>3334</v>
      </c>
      <c r="D306" s="399">
        <v>0</v>
      </c>
      <c r="E306" s="399">
        <v>0</v>
      </c>
      <c r="F306" s="399">
        <v>189904.62</v>
      </c>
      <c r="G306" s="524">
        <f>SUM(D306:F306)</f>
        <v>189904.62</v>
      </c>
      <c r="H306" s="400">
        <f>IF($Q306="EKWRA",SUMIF('Antelope Bailey Split BA'!$B$7:$B$29,$B306,'Antelope Bailey Split BA'!AE$7:AE$29),0)</f>
        <v>0</v>
      </c>
      <c r="I306" s="400">
        <f>IF($Q306="EKWRA",SUMIF('Antelope Bailey Split BA'!$B$7:$B$29,$B306,'Antelope Bailey Split BA'!AF$7:AF$29),0)</f>
        <v>0</v>
      </c>
      <c r="J306" s="400">
        <f>IF($Q306="EKWRA",SUMIF('Antelope Bailey Split BA'!$B$7:$B$29,$B306,'Antelope Bailey Split BA'!AG$7:AG$29),0)</f>
        <v>189904.62</v>
      </c>
      <c r="K306" s="400">
        <f>IF($Q306="EKWRA",SUMIF('Antelope Bailey Split BA'!$B$7:$B$29,$B306,'Antelope Bailey Split BA'!AH$7:AH$29),D306)</f>
        <v>0</v>
      </c>
      <c r="L306" s="400">
        <f>IF($Q306="EKWRA",SUMIF('Antelope Bailey Split BA'!$B$7:$B$29,$B306,'Antelope Bailey Split BA'!AI$7:AI$29),E306)</f>
        <v>0</v>
      </c>
      <c r="M306" s="400">
        <f>IF($Q306="EKWRA",SUMIF('Antelope Bailey Split BA'!$B$7:$B$29,$B306,'Antelope Bailey Split BA'!AJ$7:AJ$29),F306)</f>
        <v>0</v>
      </c>
      <c r="N306" s="398" t="str">
        <f>IF(Q306="EKWRA","Mix","Non-ISO")</f>
        <v>Mix</v>
      </c>
      <c r="O306" s="398" t="s">
        <v>1477</v>
      </c>
      <c r="P306" s="403">
        <f>SUMIF('Antelope Bailey Split BA'!$B$7:$B$29,B306,'Antelope Bailey Split BA'!$C$7:$C$29)</f>
        <v>1</v>
      </c>
      <c r="Q306" s="403" t="str">
        <f>IF(AND(P306=1,'Plant Total by Account'!$H$1=2),"EKWRA","")</f>
        <v>EKWRA</v>
      </c>
      <c r="S306" s="403">
        <f>SUMIF('ISO w_System Splits'!$D$524:$D$615,B306,'ISO w_System Splits'!$P$524:$P$615)</f>
        <v>0</v>
      </c>
      <c r="T306" s="403" t="str">
        <f>IF(AND(S306&lt;&gt;0,'Plant Total by Account'!$H$1=2),"EKWRA TL Change","")</f>
        <v/>
      </c>
      <c r="V306" s="77">
        <v>5566</v>
      </c>
      <c r="W306" s="404">
        <f t="shared" si="24"/>
        <v>0</v>
      </c>
    </row>
    <row r="307" spans="1:23" ht="12.75" customHeight="1" x14ac:dyDescent="0.2">
      <c r="A307" s="386" t="s">
        <v>2442</v>
      </c>
      <c r="B307" s="398" t="s">
        <v>545</v>
      </c>
      <c r="C307" s="398" t="s">
        <v>3334</v>
      </c>
      <c r="D307" s="399">
        <v>0</v>
      </c>
      <c r="E307" s="399">
        <v>0</v>
      </c>
      <c r="F307" s="399">
        <v>488671.30999999994</v>
      </c>
      <c r="G307" s="524">
        <f t="shared" si="26"/>
        <v>488671.30999999994</v>
      </c>
      <c r="H307" s="406">
        <f>IF($Q307="EKWRA",SUMIF('Antelope Bailey Split BA'!$B$7:$B$29,$B307,'Antelope Bailey Split BA'!$AE$7:$AE$29),0)</f>
        <v>0</v>
      </c>
      <c r="I307" s="406">
        <f>IF($Q307="EKWRA",SUMIF('Antelope Bailey Split BA'!$B$7:$B$29,$B307,'Antelope Bailey Split BA'!$AF$7:$AF$29),0)</f>
        <v>0</v>
      </c>
      <c r="J307" s="406">
        <f>IF($Q307="EKWRA",SUMIF('Antelope Bailey Split BA'!$B$7:$B$29,$B307,'Antelope Bailey Split BA'!$AG$7:$AG$29),0)</f>
        <v>346134.01</v>
      </c>
      <c r="K307" s="406">
        <f>IF(Q307="EKWRA",SUMIF('Antelope Bailey Split BA'!$B$7:$B$29,B307,'Antelope Bailey Split BA'!$AH$7:$AH$29)+SUMIF('Antelope Bailey Split BA'!$B$7:$B$29,B307,'Antelope Bailey Split BA'!$AB$7:$AB$29),$D307)</f>
        <v>0</v>
      </c>
      <c r="L307" s="406">
        <f>IF(Q307="EKWRA",SUMIF('Antelope Bailey Split BA'!$B$7:$B$29,B307,'Antelope Bailey Split BA'!$AI$7:$AI$29)+SUMIF('Antelope Bailey Split BA'!$B$7:$B$29,B307,'Antelope Bailey Split BA'!$AC$7:$AC$29),$E307)</f>
        <v>0</v>
      </c>
      <c r="M307" s="406">
        <f>IF(Q307="EKWRA",SUMIF('Antelope Bailey Split BA'!$B$7:$B$29,B307,'Antelope Bailey Split BA'!$AJ$7:$AJ$29)+SUMIF('Antelope Bailey Split BA'!$B$7:$B$29,B307,'Antelope Bailey Split BA'!$AD$7:$AD$29),$F307)</f>
        <v>142537.30000000002</v>
      </c>
      <c r="N307" s="398" t="str">
        <f t="shared" si="25"/>
        <v>Mix</v>
      </c>
      <c r="O307" s="415" t="s">
        <v>1477</v>
      </c>
      <c r="P307" s="403">
        <f>SUMIF('Antelope Bailey Split BA'!$B$7:$B$29,B307,'Antelope Bailey Split BA'!$C$7:$C$29)</f>
        <v>1</v>
      </c>
      <c r="Q307" s="403" t="str">
        <f>IF(AND(P307=1,'Plant Total by Account'!$H$1=2),"EKWRA","")</f>
        <v>EKWRA</v>
      </c>
      <c r="S307" s="403">
        <f>SUMIF('ISO w_System Splits'!$D$524:$D$615,B307,'ISO w_System Splits'!$P$524:$P$615)</f>
        <v>0</v>
      </c>
      <c r="T307" s="403" t="str">
        <f>IF(AND(S307&lt;&gt;0,'Plant Total by Account'!$H$1=2),"EKWRA TL Change","")</f>
        <v/>
      </c>
      <c r="V307" s="77">
        <v>5599</v>
      </c>
      <c r="W307" s="404">
        <f t="shared" si="24"/>
        <v>0</v>
      </c>
    </row>
    <row r="308" spans="1:23" ht="12.75" customHeight="1" x14ac:dyDescent="0.2">
      <c r="A308" s="386" t="s">
        <v>2603</v>
      </c>
      <c r="B308" s="398" t="s">
        <v>1255</v>
      </c>
      <c r="C308" s="398" t="s">
        <v>3334</v>
      </c>
      <c r="D308" s="399">
        <v>942423.45000000007</v>
      </c>
      <c r="E308" s="399">
        <v>0</v>
      </c>
      <c r="F308" s="399">
        <v>0</v>
      </c>
      <c r="G308" s="524">
        <f>SUM(D308:F308)</f>
        <v>942423.45000000007</v>
      </c>
      <c r="H308" s="406">
        <f>IF($Q308="EKWRA",SUMIF('Antelope Bailey Split BA'!$B$7:$B$29,$B308,'Antelope Bailey Split BA'!$AE$7:$AE$29),0)</f>
        <v>351410.00063079083</v>
      </c>
      <c r="I308" s="406">
        <f>IF($Q308="EKWRA",SUMIF('Antelope Bailey Split BA'!$B$7:$B$29,$B308,'Antelope Bailey Split BA'!$AF$7:$AF$29),0)</f>
        <v>0</v>
      </c>
      <c r="J308" s="406">
        <f>IF($Q308="EKWRA",SUMIF('Antelope Bailey Split BA'!$B$7:$B$29,$B308,'Antelope Bailey Split BA'!$AG$7:$AG$29),0)</f>
        <v>0</v>
      </c>
      <c r="K308" s="406">
        <f>IF(Q308="EKWRA",SUMIF('Antelope Bailey Split BA'!$B$7:$B$29,B308,'Antelope Bailey Split BA'!$AH$7:$AH$29)+SUMIF('Antelope Bailey Split BA'!$B$7:$B$29,B308,'Antelope Bailey Split BA'!$AB$7:$AB$29),$D308)</f>
        <v>591013.44936920935</v>
      </c>
      <c r="L308" s="406">
        <f>IF(Q308="EKWRA",SUMIF('Antelope Bailey Split BA'!$B$7:$B$29,B308,'Antelope Bailey Split BA'!$AI$7:$AI$29)+SUMIF('Antelope Bailey Split BA'!$B$7:$B$29,B308,'Antelope Bailey Split BA'!$AC$7:$AC$29),$E308)</f>
        <v>0</v>
      </c>
      <c r="M308" s="406">
        <f>IF(Q308="EKWRA",SUMIF('Antelope Bailey Split BA'!$B$7:$B$29,B308,'Antelope Bailey Split BA'!$AJ$7:$AJ$29)+SUMIF('Antelope Bailey Split BA'!$B$7:$B$29,B308,'Antelope Bailey Split BA'!$AD$7:$AD$29),$F308)</f>
        <v>0</v>
      </c>
      <c r="N308" s="398" t="str">
        <f>IF(Q308="EKWRA","Mix","Non-ISO")</f>
        <v>Mix</v>
      </c>
      <c r="O308" s="398" t="s">
        <v>1477</v>
      </c>
      <c r="P308" s="403">
        <f>SUMIF('Antelope Bailey Split BA'!$B$7:$B$29,B308,'Antelope Bailey Split BA'!$C$7:$C$29)</f>
        <v>1</v>
      </c>
      <c r="Q308" s="403" t="str">
        <f>IF(AND(P308=1,'Plant Total by Account'!$H$1=2),"EKWRA","")</f>
        <v>EKWRA</v>
      </c>
      <c r="S308" s="403">
        <f>SUMIF('ISO w_System Splits'!$D$524:$D$615,B308,'ISO w_System Splits'!$P$524:$P$615)</f>
        <v>0</v>
      </c>
      <c r="T308" s="403" t="str">
        <f>IF(AND(S308&lt;&gt;0,'Plant Total by Account'!$H$1=2),"EKWRA TL Change","")</f>
        <v/>
      </c>
      <c r="V308" s="77">
        <v>8504</v>
      </c>
      <c r="W308" s="404">
        <f t="shared" si="24"/>
        <v>0</v>
      </c>
    </row>
    <row r="309" spans="1:23" ht="12.75" customHeight="1" x14ac:dyDescent="0.2">
      <c r="A309" s="386" t="s">
        <v>2263</v>
      </c>
      <c r="B309" s="398" t="s">
        <v>121</v>
      </c>
      <c r="C309" s="398" t="s">
        <v>3331</v>
      </c>
      <c r="D309" s="399">
        <v>0</v>
      </c>
      <c r="E309" s="399">
        <v>77314.240000000005</v>
      </c>
      <c r="F309" s="399">
        <v>8074041.1800000006</v>
      </c>
      <c r="G309" s="524">
        <f t="shared" si="26"/>
        <v>8151355.4200000009</v>
      </c>
      <c r="H309" s="400">
        <f>SUMIF('Mix Substation Location Summary'!$B$4:$B$107,B309,'Mix Substation Location Summary'!$C$4:$C$107)</f>
        <v>0</v>
      </c>
      <c r="I309" s="400">
        <f>SUMIF('Mix Substation Location Summary'!$B$4:$B$107,B309,'Mix Substation Location Summary'!$G$4:$G$107)</f>
        <v>36940.325605496066</v>
      </c>
      <c r="J309" s="400">
        <f>SUMIF('Mix Substation Location Summary'!$B$4:$B$107,B309,'Mix Substation Location Summary'!$K$4:$K$107)</f>
        <v>3849583.5535414973</v>
      </c>
      <c r="K309" s="400">
        <f>SUMIF('Mix Substation Location Summary'!$B$4:$B$107,B309,'Mix Substation Location Summary'!$D$4:$D$107)+SUMIF('Mix Substation Location Summary'!$B$4:$B$107,B309,'Mix Substation Location Summary'!$E$4:$E$107)</f>
        <v>0</v>
      </c>
      <c r="L309" s="400">
        <f>SUMIF('Mix Substation Location Summary'!$B$4:$B$107,B309,'Mix Substation Location Summary'!$H$4:$H$107)+SUMIF('Mix Substation Location Summary'!$B$4:$B$107,B309,'Mix Substation Location Summary'!$I$4:$I$107)</f>
        <v>40373.914394503925</v>
      </c>
      <c r="M309" s="400">
        <f>SUMIF('Mix Substation Location Summary'!$B$4:$B$107,B309,'Mix Substation Location Summary'!$L$4:$L$107)+SUMIF('Mix Substation Location Summary'!$B$4:$B$107,B309,'Mix Substation Location Summary'!$M$4:$M$107)</f>
        <v>4224457.6264585024</v>
      </c>
      <c r="N309" s="398" t="s">
        <v>1482</v>
      </c>
      <c r="O309" s="398" t="s">
        <v>1476</v>
      </c>
      <c r="P309" s="403">
        <f>SUMIF('Antelope Bailey Split BA'!$B$7:$B$29,B309,'Antelope Bailey Split BA'!$C$7:$C$29)</f>
        <v>0</v>
      </c>
      <c r="Q309" s="403" t="str">
        <f>IF(AND(P309=1,'Plant Total by Account'!$H$1=2),"EKWRA","")</f>
        <v/>
      </c>
      <c r="S309" s="403">
        <f>SUMIF('ISO w_System Splits'!$D$524:$D$615,B309,'ISO w_System Splits'!$P$524:$P$615)</f>
        <v>0</v>
      </c>
      <c r="T309" s="403" t="str">
        <f>IF(AND(S309&lt;&gt;0,'Plant Total by Account'!$H$1=2),"EKWRA TL Change","")</f>
        <v/>
      </c>
      <c r="V309" s="77">
        <v>2211</v>
      </c>
      <c r="W309" s="404">
        <f t="shared" si="24"/>
        <v>0</v>
      </c>
    </row>
    <row r="310" spans="1:23" ht="12.75" customHeight="1" x14ac:dyDescent="0.2">
      <c r="A310" s="386" t="s">
        <v>2264</v>
      </c>
      <c r="B310" s="398" t="s">
        <v>1053</v>
      </c>
      <c r="C310" s="398" t="s">
        <v>3331</v>
      </c>
      <c r="D310" s="399">
        <v>0</v>
      </c>
      <c r="E310" s="399">
        <v>0</v>
      </c>
      <c r="F310" s="399">
        <v>1516245.82</v>
      </c>
      <c r="G310" s="524">
        <f t="shared" si="26"/>
        <v>1516245.82</v>
      </c>
      <c r="H310" s="400">
        <f>SUMIF('Mix Substation Location Summary'!$B$4:$B$107,B310,'Mix Substation Location Summary'!$C$4:$C$107)</f>
        <v>0</v>
      </c>
      <c r="I310" s="400">
        <f>SUMIF('Mix Substation Location Summary'!$B$4:$B$107,B310,'Mix Substation Location Summary'!$G$4:$G$107)</f>
        <v>0</v>
      </c>
      <c r="J310" s="400">
        <f>SUMIF('Mix Substation Location Summary'!$B$4:$B$107,B310,'Mix Substation Location Summary'!$K$4:$K$107)</f>
        <v>1516245.82</v>
      </c>
      <c r="K310" s="400">
        <f>SUMIF('Mix Substation Location Summary'!$B$4:$B$107,B310,'Mix Substation Location Summary'!$D$4:$D$107)+SUMIF('Mix Substation Location Summary'!$B$4:$B$107,B310,'Mix Substation Location Summary'!$E$4:$E$107)</f>
        <v>0</v>
      </c>
      <c r="L310" s="400">
        <f>SUMIF('Mix Substation Location Summary'!$B$4:$B$107,B310,'Mix Substation Location Summary'!$H$4:$H$107)+SUMIF('Mix Substation Location Summary'!$B$4:$B$107,B310,'Mix Substation Location Summary'!$I$4:$I$107)</f>
        <v>0</v>
      </c>
      <c r="M310" s="400">
        <f>SUMIF('Mix Substation Location Summary'!$B$4:$B$107,B310,'Mix Substation Location Summary'!$L$4:$L$107)+SUMIF('Mix Substation Location Summary'!$B$4:$B$107,B310,'Mix Substation Location Summary'!$M$4:$M$107)</f>
        <v>0</v>
      </c>
      <c r="N310" s="398" t="s">
        <v>1482</v>
      </c>
      <c r="O310" s="398" t="s">
        <v>1476</v>
      </c>
      <c r="P310" s="403">
        <f>SUMIF('Antelope Bailey Split BA'!$B$7:$B$29,B310,'Antelope Bailey Split BA'!$C$7:$C$29)</f>
        <v>0</v>
      </c>
      <c r="Q310" s="403" t="str">
        <f>IF(AND(P310=1,'Plant Total by Account'!$H$1=2),"EKWRA","")</f>
        <v/>
      </c>
      <c r="S310" s="403">
        <f>SUMIF('ISO w_System Splits'!$D$524:$D$615,B310,'ISO w_System Splits'!$P$524:$P$615)</f>
        <v>0</v>
      </c>
      <c r="T310" s="403" t="str">
        <f>IF(AND(S310&lt;&gt;0,'Plant Total by Account'!$H$1=2),"EKWRA TL Change","")</f>
        <v/>
      </c>
      <c r="V310" s="77">
        <v>2212</v>
      </c>
      <c r="W310" s="404">
        <f t="shared" si="24"/>
        <v>0</v>
      </c>
    </row>
    <row r="311" spans="1:23" ht="12.75" customHeight="1" x14ac:dyDescent="0.2">
      <c r="A311" s="386" t="s">
        <v>2265</v>
      </c>
      <c r="B311" s="398" t="s">
        <v>142</v>
      </c>
      <c r="C311" s="398" t="s">
        <v>3331</v>
      </c>
      <c r="D311" s="399">
        <v>0</v>
      </c>
      <c r="E311" s="399">
        <v>282649.01</v>
      </c>
      <c r="F311" s="399">
        <v>2338172.7599999998</v>
      </c>
      <c r="G311" s="524">
        <f t="shared" si="26"/>
        <v>2620821.7699999996</v>
      </c>
      <c r="H311" s="400">
        <f>SUMIF('Mix Substation Location Summary'!$B$4:$B$107,B311,'Mix Substation Location Summary'!$C$4:$C$107)</f>
        <v>0</v>
      </c>
      <c r="I311" s="400">
        <f>SUMIF('Mix Substation Location Summary'!$B$4:$B$107,B311,'Mix Substation Location Summary'!$G$4:$G$107)</f>
        <v>228150.8818188523</v>
      </c>
      <c r="J311" s="400">
        <f>SUMIF('Mix Substation Location Summary'!$B$4:$B$107,B311,'Mix Substation Location Summary'!$K$4:$K$107)</f>
        <v>1885178.8101346751</v>
      </c>
      <c r="K311" s="400">
        <f>SUMIF('Mix Substation Location Summary'!$B$4:$B$107,B311,'Mix Substation Location Summary'!$D$4:$D$107)+SUMIF('Mix Substation Location Summary'!$B$4:$B$107,B311,'Mix Substation Location Summary'!$E$4:$E$107)</f>
        <v>0</v>
      </c>
      <c r="L311" s="400">
        <f>SUMIF('Mix Substation Location Summary'!$B$4:$B$107,B311,'Mix Substation Location Summary'!$H$4:$H$107)+SUMIF('Mix Substation Location Summary'!$B$4:$B$107,B311,'Mix Substation Location Summary'!$I$4:$I$107)</f>
        <v>54498.128181147746</v>
      </c>
      <c r="M311" s="400">
        <f>SUMIF('Mix Substation Location Summary'!$B$4:$B$107,B311,'Mix Substation Location Summary'!$L$4:$L$107)+SUMIF('Mix Substation Location Summary'!$B$4:$B$107,B311,'Mix Substation Location Summary'!$M$4:$M$107)</f>
        <v>452993.94986532495</v>
      </c>
      <c r="N311" s="398" t="s">
        <v>1482</v>
      </c>
      <c r="O311" s="398" t="s">
        <v>1476</v>
      </c>
      <c r="P311" s="403">
        <f>SUMIF('Antelope Bailey Split BA'!$B$7:$B$29,B311,'Antelope Bailey Split BA'!$C$7:$C$29)</f>
        <v>0</v>
      </c>
      <c r="Q311" s="403" t="str">
        <f>IF(AND(P311=1,'Plant Total by Account'!$H$1=2),"EKWRA","")</f>
        <v/>
      </c>
      <c r="S311" s="403">
        <f>SUMIF('ISO w_System Splits'!$D$524:$D$615,B311,'ISO w_System Splits'!$P$524:$P$615)</f>
        <v>0</v>
      </c>
      <c r="T311" s="403" t="str">
        <f>IF(AND(S311&lt;&gt;0,'Plant Total by Account'!$H$1=2),"EKWRA TL Change","")</f>
        <v/>
      </c>
      <c r="V311" s="77">
        <v>2229</v>
      </c>
      <c r="W311" s="404">
        <f t="shared" si="24"/>
        <v>0</v>
      </c>
    </row>
    <row r="312" spans="1:23" ht="12.75" customHeight="1" x14ac:dyDescent="0.2">
      <c r="A312" s="386" t="s">
        <v>2266</v>
      </c>
      <c r="B312" s="398" t="s">
        <v>143</v>
      </c>
      <c r="C312" s="398" t="s">
        <v>3331</v>
      </c>
      <c r="D312" s="399">
        <v>0</v>
      </c>
      <c r="E312" s="399">
        <v>584235.03</v>
      </c>
      <c r="F312" s="399">
        <v>11741535.189999998</v>
      </c>
      <c r="G312" s="524">
        <f t="shared" si="26"/>
        <v>12325770.219999997</v>
      </c>
      <c r="H312" s="400">
        <f>SUMIF('Mix Substation Location Summary'!$B$4:$B$107,B312,'Mix Substation Location Summary'!$C$4:$C$107)</f>
        <v>0</v>
      </c>
      <c r="I312" s="400">
        <f>SUMIF('Mix Substation Location Summary'!$B$4:$B$107,B312,'Mix Substation Location Summary'!$G$4:$G$107)</f>
        <v>578154.11693012703</v>
      </c>
      <c r="J312" s="400">
        <f>SUMIF('Mix Substation Location Summary'!$B$4:$B$107,B312,'Mix Substation Location Summary'!$K$4:$K$107)</f>
        <v>10298078.488259617</v>
      </c>
      <c r="K312" s="400">
        <f>SUMIF('Mix Substation Location Summary'!$B$4:$B$107,B312,'Mix Substation Location Summary'!$D$4:$D$107)+SUMIF('Mix Substation Location Summary'!$B$4:$B$107,B312,'Mix Substation Location Summary'!$E$4:$E$107)</f>
        <v>0</v>
      </c>
      <c r="L312" s="400">
        <f>SUMIF('Mix Substation Location Summary'!$B$4:$B$107,B312,'Mix Substation Location Summary'!$H$4:$H$107)+SUMIF('Mix Substation Location Summary'!$B$4:$B$107,B312,'Mix Substation Location Summary'!$I$4:$I$107)</f>
        <v>6080.9130698729732</v>
      </c>
      <c r="M312" s="400">
        <f>SUMIF('Mix Substation Location Summary'!$B$4:$B$107,B312,'Mix Substation Location Summary'!$L$4:$L$107)+SUMIF('Mix Substation Location Summary'!$B$4:$B$107,B312,'Mix Substation Location Summary'!$M$4:$M$107)</f>
        <v>1443456.7017403843</v>
      </c>
      <c r="N312" s="398" t="s">
        <v>1482</v>
      </c>
      <c r="O312" s="398" t="s">
        <v>1476</v>
      </c>
      <c r="P312" s="403">
        <f>SUMIF('Antelope Bailey Split BA'!$B$7:$B$29,B312,'Antelope Bailey Split BA'!$C$7:$C$29)</f>
        <v>0</v>
      </c>
      <c r="Q312" s="403" t="str">
        <f>IF(AND(P312=1,'Plant Total by Account'!$H$1=2),"EKWRA","")</f>
        <v/>
      </c>
      <c r="S312" s="403">
        <f>SUMIF('ISO w_System Splits'!$D$524:$D$615,B312,'ISO w_System Splits'!$P$524:$P$615)</f>
        <v>0</v>
      </c>
      <c r="T312" s="403" t="str">
        <f>IF(AND(S312&lt;&gt;0,'Plant Total by Account'!$H$1=2),"EKWRA TL Change","")</f>
        <v/>
      </c>
      <c r="V312" s="77">
        <v>2230</v>
      </c>
      <c r="W312" s="404">
        <f t="shared" si="24"/>
        <v>2.7284841053187847E-11</v>
      </c>
    </row>
    <row r="313" spans="1:23" ht="12.75" customHeight="1" x14ac:dyDescent="0.2">
      <c r="A313" s="386" t="s">
        <v>2267</v>
      </c>
      <c r="B313" s="398" t="s">
        <v>144</v>
      </c>
      <c r="C313" s="398" t="s">
        <v>3331</v>
      </c>
      <c r="D313" s="399">
        <v>0</v>
      </c>
      <c r="E313" s="399">
        <v>0</v>
      </c>
      <c r="F313" s="399">
        <v>1031433.8299999998</v>
      </c>
      <c r="G313" s="524">
        <f t="shared" si="26"/>
        <v>1031433.8299999998</v>
      </c>
      <c r="H313" s="400">
        <f>SUMIF('Mix Substation Location Summary'!$B$4:$B$107,B313,'Mix Substation Location Summary'!$C$4:$C$107)</f>
        <v>0</v>
      </c>
      <c r="I313" s="400">
        <f>SUMIF('Mix Substation Location Summary'!$B$4:$B$107,B313,'Mix Substation Location Summary'!$G$4:$G$107)</f>
        <v>0</v>
      </c>
      <c r="J313" s="400">
        <f>SUMIF('Mix Substation Location Summary'!$B$4:$B$107,B313,'Mix Substation Location Summary'!$K$4:$K$107)</f>
        <v>1031433.8299999998</v>
      </c>
      <c r="K313" s="400">
        <f>SUMIF('Mix Substation Location Summary'!$B$4:$B$107,B313,'Mix Substation Location Summary'!$D$4:$D$107)+SUMIF('Mix Substation Location Summary'!$B$4:$B$107,B313,'Mix Substation Location Summary'!$E$4:$E$107)</f>
        <v>0</v>
      </c>
      <c r="L313" s="400">
        <f>SUMIF('Mix Substation Location Summary'!$B$4:$B$107,B313,'Mix Substation Location Summary'!$H$4:$H$107)+SUMIF('Mix Substation Location Summary'!$B$4:$B$107,B313,'Mix Substation Location Summary'!$I$4:$I$107)</f>
        <v>0</v>
      </c>
      <c r="M313" s="400">
        <f>SUMIF('Mix Substation Location Summary'!$B$4:$B$107,B313,'Mix Substation Location Summary'!$L$4:$L$107)+SUMIF('Mix Substation Location Summary'!$B$4:$B$107,B313,'Mix Substation Location Summary'!$M$4:$M$107)</f>
        <v>0</v>
      </c>
      <c r="N313" s="398" t="s">
        <v>1482</v>
      </c>
      <c r="O313" s="398" t="s">
        <v>1476</v>
      </c>
      <c r="P313" s="403">
        <f>SUMIF('Antelope Bailey Split BA'!$B$7:$B$29,B313,'Antelope Bailey Split BA'!$C$7:$C$29)</f>
        <v>0</v>
      </c>
      <c r="Q313" s="403" t="str">
        <f>IF(AND(P313=1,'Plant Total by Account'!$H$1=2),"EKWRA","")</f>
        <v/>
      </c>
      <c r="S313" s="403">
        <f>SUMIF('ISO w_System Splits'!$D$524:$D$615,B313,'ISO w_System Splits'!$P$524:$P$615)</f>
        <v>0</v>
      </c>
      <c r="T313" s="403" t="str">
        <f>IF(AND(S313&lt;&gt;0,'Plant Total by Account'!$H$1=2),"EKWRA TL Change","")</f>
        <v/>
      </c>
      <c r="V313" s="77">
        <v>2234</v>
      </c>
      <c r="W313" s="404">
        <f t="shared" si="24"/>
        <v>0</v>
      </c>
    </row>
    <row r="314" spans="1:23" ht="12.75" customHeight="1" x14ac:dyDescent="0.2">
      <c r="A314" s="386" t="s">
        <v>2268</v>
      </c>
      <c r="B314" s="398" t="s">
        <v>1054</v>
      </c>
      <c r="C314" s="398" t="s">
        <v>3331</v>
      </c>
      <c r="D314" s="399">
        <v>0</v>
      </c>
      <c r="E314" s="399">
        <v>0</v>
      </c>
      <c r="F314" s="399">
        <v>2262431.5</v>
      </c>
      <c r="G314" s="524">
        <f t="shared" si="26"/>
        <v>2262431.5</v>
      </c>
      <c r="H314" s="400">
        <f>SUMIF('Mix Substation Location Summary'!$B$4:$B$107,B314,'Mix Substation Location Summary'!$C$4:$C$107)</f>
        <v>0</v>
      </c>
      <c r="I314" s="400">
        <f>SUMIF('Mix Substation Location Summary'!$B$4:$B$107,B314,'Mix Substation Location Summary'!$G$4:$G$107)</f>
        <v>0</v>
      </c>
      <c r="J314" s="400">
        <f>SUMIF('Mix Substation Location Summary'!$B$4:$B$107,B314,'Mix Substation Location Summary'!$K$4:$K$107)</f>
        <v>2262431.5</v>
      </c>
      <c r="K314" s="400">
        <f>SUMIF('Mix Substation Location Summary'!$B$4:$B$107,B314,'Mix Substation Location Summary'!$D$4:$D$107)+SUMIF('Mix Substation Location Summary'!$B$4:$B$107,B314,'Mix Substation Location Summary'!$E$4:$E$107)</f>
        <v>0</v>
      </c>
      <c r="L314" s="400">
        <f>SUMIF('Mix Substation Location Summary'!$B$4:$B$107,B314,'Mix Substation Location Summary'!$H$4:$H$107)+SUMIF('Mix Substation Location Summary'!$B$4:$B$107,B314,'Mix Substation Location Summary'!$I$4:$I$107)</f>
        <v>0</v>
      </c>
      <c r="M314" s="400">
        <f>SUMIF('Mix Substation Location Summary'!$B$4:$B$107,B314,'Mix Substation Location Summary'!$L$4:$L$107)+SUMIF('Mix Substation Location Summary'!$B$4:$B$107,B314,'Mix Substation Location Summary'!$M$4:$M$107)</f>
        <v>0</v>
      </c>
      <c r="N314" s="398" t="s">
        <v>1482</v>
      </c>
      <c r="O314" s="398" t="s">
        <v>1476</v>
      </c>
      <c r="P314" s="403">
        <f>SUMIF('Antelope Bailey Split BA'!$B$7:$B$29,B314,'Antelope Bailey Split BA'!$C$7:$C$29)</f>
        <v>0</v>
      </c>
      <c r="Q314" s="403" t="str">
        <f>IF(AND(P314=1,'Plant Total by Account'!$H$1=2),"EKWRA","")</f>
        <v/>
      </c>
      <c r="S314" s="403">
        <f>SUMIF('ISO w_System Splits'!$D$524:$D$615,B314,'ISO w_System Splits'!$P$524:$P$615)</f>
        <v>0</v>
      </c>
      <c r="T314" s="403" t="str">
        <f>IF(AND(S314&lt;&gt;0,'Plant Total by Account'!$H$1=2),"EKWRA TL Change","")</f>
        <v/>
      </c>
      <c r="V314" s="77">
        <v>2236</v>
      </c>
      <c r="W314" s="404">
        <f t="shared" si="24"/>
        <v>0</v>
      </c>
    </row>
    <row r="315" spans="1:23" ht="12.75" customHeight="1" x14ac:dyDescent="0.2">
      <c r="A315" s="386" t="s">
        <v>2298</v>
      </c>
      <c r="B315" s="398" t="s">
        <v>1079</v>
      </c>
      <c r="C315" s="398" t="s">
        <v>3329</v>
      </c>
      <c r="D315" s="399">
        <v>0</v>
      </c>
      <c r="E315" s="399">
        <v>1481594.25</v>
      </c>
      <c r="F315" s="399">
        <v>14903914.359999999</v>
      </c>
      <c r="G315" s="524">
        <f t="shared" si="26"/>
        <v>16385508.609999999</v>
      </c>
      <c r="H315" s="400">
        <f>SUMIF('Mix Substation Location Summary'!$B$4:$B$107,B315,'Mix Substation Location Summary'!$C$4:$C$107)</f>
        <v>0</v>
      </c>
      <c r="I315" s="400">
        <f>SUMIF('Mix Substation Location Summary'!$B$4:$B$107,B315,'Mix Substation Location Summary'!$G$4:$G$107)</f>
        <v>1227397.2779972635</v>
      </c>
      <c r="J315" s="400">
        <f>SUMIF('Mix Substation Location Summary'!$B$4:$B$107,B315,'Mix Substation Location Summary'!$K$4:$K$107)</f>
        <v>12809999.559285603</v>
      </c>
      <c r="K315" s="400">
        <f>SUMIF('Mix Substation Location Summary'!$B$4:$B$107,B315,'Mix Substation Location Summary'!$D$4:$D$107)+SUMIF('Mix Substation Location Summary'!$B$4:$B$107,B315,'Mix Substation Location Summary'!$E$4:$E$107)</f>
        <v>0</v>
      </c>
      <c r="L315" s="400">
        <f>SUMIF('Mix Substation Location Summary'!$B$4:$B$107,B315,'Mix Substation Location Summary'!$H$4:$H$107)+SUMIF('Mix Substation Location Summary'!$B$4:$B$107,B315,'Mix Substation Location Summary'!$I$4:$I$107)</f>
        <v>254196.97200273647</v>
      </c>
      <c r="M315" s="400">
        <f>SUMIF('Mix Substation Location Summary'!$B$4:$B$107,B315,'Mix Substation Location Summary'!$L$4:$L$107)+SUMIF('Mix Substation Location Summary'!$B$4:$B$107,B315,'Mix Substation Location Summary'!$M$4:$M$107)</f>
        <v>2093914.8007143983</v>
      </c>
      <c r="N315" s="398" t="s">
        <v>1482</v>
      </c>
      <c r="O315" s="415" t="s">
        <v>1477</v>
      </c>
      <c r="P315" s="403">
        <f>SUMIF('Antelope Bailey Split BA'!$B$7:$B$29,B315,'Antelope Bailey Split BA'!$C$7:$C$29)</f>
        <v>0</v>
      </c>
      <c r="Q315" s="403" t="str">
        <f>IF(AND(P315=1,'Plant Total by Account'!$H$1=2),"EKWRA","")</f>
        <v/>
      </c>
      <c r="S315" s="403">
        <f>SUMIF('ISO w_System Splits'!$D$524:$D$615,B315,'ISO w_System Splits'!$P$524:$P$615)</f>
        <v>0</v>
      </c>
      <c r="T315" s="403" t="str">
        <f>IF(AND(S315&lt;&gt;0,'Plant Total by Account'!$H$1=2),"EKWRA TL Change","")</f>
        <v/>
      </c>
      <c r="V315" s="77">
        <v>2556</v>
      </c>
      <c r="W315" s="404">
        <f t="shared" si="24"/>
        <v>0</v>
      </c>
    </row>
    <row r="316" spans="1:23" ht="12.75" customHeight="1" x14ac:dyDescent="0.2">
      <c r="A316" s="386" t="s">
        <v>2330</v>
      </c>
      <c r="B316" s="398" t="s">
        <v>1113</v>
      </c>
      <c r="C316" s="398" t="s">
        <v>3331</v>
      </c>
      <c r="D316" s="399">
        <v>19613.2</v>
      </c>
      <c r="E316" s="399">
        <v>1027025.5099999999</v>
      </c>
      <c r="F316" s="399">
        <v>18784495.509999998</v>
      </c>
      <c r="G316" s="524">
        <f t="shared" si="26"/>
        <v>19831134.219999999</v>
      </c>
      <c r="H316" s="400">
        <f>SUMIF('Mix Substation Location Summary'!$B$4:$B$107,B316,'Mix Substation Location Summary'!$C$4:$C$107)</f>
        <v>4626.1672313667241</v>
      </c>
      <c r="I316" s="400">
        <f>SUMIF('Mix Substation Location Summary'!$B$4:$B$107,B316,'Mix Substation Location Summary'!$G$4:$G$107)</f>
        <v>244602.65603972721</v>
      </c>
      <c r="J316" s="400">
        <f>SUMIF('Mix Substation Location Summary'!$B$4:$B$107,B316,'Mix Substation Location Summary'!$K$4:$K$107)</f>
        <v>4428342.5719830878</v>
      </c>
      <c r="K316" s="400">
        <f>SUMIF('Mix Substation Location Summary'!$B$4:$B$107,B316,'Mix Substation Location Summary'!$D$4:$D$107)+SUMIF('Mix Substation Location Summary'!$B$4:$B$107,B316,'Mix Substation Location Summary'!$E$4:$E$107)</f>
        <v>14987.032768633275</v>
      </c>
      <c r="L316" s="400">
        <f>SUMIF('Mix Substation Location Summary'!$B$4:$B$107,B316,'Mix Substation Location Summary'!$H$4:$H$107)+SUMIF('Mix Substation Location Summary'!$B$4:$B$107,B316,'Mix Substation Location Summary'!$I$4:$I$107)</f>
        <v>782422.85396027286</v>
      </c>
      <c r="M316" s="400">
        <f>SUMIF('Mix Substation Location Summary'!$B$4:$B$107,B316,'Mix Substation Location Summary'!$L$4:$L$107)+SUMIF('Mix Substation Location Summary'!$B$4:$B$107,B316,'Mix Substation Location Summary'!$M$4:$M$107)</f>
        <v>14356152.938016914</v>
      </c>
      <c r="N316" s="398" t="s">
        <v>1482</v>
      </c>
      <c r="O316" s="398" t="s">
        <v>1476</v>
      </c>
      <c r="P316" s="403">
        <f>SUMIF('Antelope Bailey Split BA'!$B$7:$B$29,B316,'Antelope Bailey Split BA'!$C$7:$C$29)</f>
        <v>0</v>
      </c>
      <c r="Q316" s="403" t="str">
        <f>IF(AND(P316=1,'Plant Total by Account'!$H$1=2),"EKWRA","")</f>
        <v/>
      </c>
      <c r="S316" s="403">
        <f>SUMIF('ISO w_System Splits'!$D$524:$D$615,B316,'ISO w_System Splits'!$P$524:$P$615)</f>
        <v>0</v>
      </c>
      <c r="T316" s="403" t="str">
        <f>IF(AND(S316&lt;&gt;0,'Plant Total by Account'!$H$1=2),"EKWRA TL Change","")</f>
        <v/>
      </c>
      <c r="V316" s="77">
        <v>5011</v>
      </c>
      <c r="W316" s="404">
        <f t="shared" si="24"/>
        <v>0</v>
      </c>
    </row>
    <row r="317" spans="1:23" ht="12.75" customHeight="1" x14ac:dyDescent="0.2">
      <c r="A317" s="386" t="s">
        <v>2331</v>
      </c>
      <c r="B317" s="398" t="s">
        <v>1114</v>
      </c>
      <c r="C317" s="398" t="s">
        <v>3331</v>
      </c>
      <c r="D317" s="399">
        <v>169248.65</v>
      </c>
      <c r="E317" s="399">
        <v>6078266.7800000003</v>
      </c>
      <c r="F317" s="399">
        <v>39054244.560000069</v>
      </c>
      <c r="G317" s="524">
        <f t="shared" si="26"/>
        <v>45301759.990000069</v>
      </c>
      <c r="H317" s="400">
        <f>SUMIF('Mix Substation Location Summary'!$B$4:$B$107,B317,'Mix Substation Location Summary'!$C$4:$C$107)</f>
        <v>47666.78608968843</v>
      </c>
      <c r="I317" s="400">
        <f>SUMIF('Mix Substation Location Summary'!$B$4:$B$107,B317,'Mix Substation Location Summary'!$G$4:$G$107)</f>
        <v>1696134.1543528668</v>
      </c>
      <c r="J317" s="400">
        <f>SUMIF('Mix Substation Location Summary'!$B$4:$B$107,B317,'Mix Substation Location Summary'!$K$4:$K$107)</f>
        <v>11014878.68819694</v>
      </c>
      <c r="K317" s="400">
        <f>SUMIF('Mix Substation Location Summary'!$B$4:$B$107,B317,'Mix Substation Location Summary'!$D$4:$D$107)+SUMIF('Mix Substation Location Summary'!$B$4:$B$107,B317,'Mix Substation Location Summary'!$E$4:$E$107)</f>
        <v>121581.86391031156</v>
      </c>
      <c r="L317" s="400">
        <f>SUMIF('Mix Substation Location Summary'!$B$4:$B$107,B317,'Mix Substation Location Summary'!$H$4:$H$107)+SUMIF('Mix Substation Location Summary'!$B$4:$B$107,B317,'Mix Substation Location Summary'!$I$4:$I$107)</f>
        <v>4382132.6256471341</v>
      </c>
      <c r="M317" s="400">
        <f>SUMIF('Mix Substation Location Summary'!$B$4:$B$107,B317,'Mix Substation Location Summary'!$L$4:$L$107)+SUMIF('Mix Substation Location Summary'!$B$4:$B$107,B317,'Mix Substation Location Summary'!$M$4:$M$107)</f>
        <v>28039365.87180306</v>
      </c>
      <c r="N317" s="398" t="s">
        <v>1482</v>
      </c>
      <c r="O317" s="398" t="s">
        <v>1476</v>
      </c>
      <c r="P317" s="403">
        <f>SUMIF('Antelope Bailey Split BA'!$B$7:$B$29,B317,'Antelope Bailey Split BA'!$C$7:$C$29)</f>
        <v>0</v>
      </c>
      <c r="Q317" s="403" t="str">
        <f>IF(AND(P317=1,'Plant Total by Account'!$H$1=2),"EKWRA","")</f>
        <v/>
      </c>
      <c r="S317" s="403">
        <f>SUMIF('ISO w_System Splits'!$D$524:$D$615,B317,'ISO w_System Splits'!$P$524:$P$615)</f>
        <v>0</v>
      </c>
      <c r="T317" s="403" t="str">
        <f>IF(AND(S317&lt;&gt;0,'Plant Total by Account'!$H$1=2),"EKWRA TL Change","")</f>
        <v/>
      </c>
      <c r="V317" s="77">
        <v>5012</v>
      </c>
      <c r="W317" s="404">
        <f t="shared" si="24"/>
        <v>0</v>
      </c>
    </row>
    <row r="318" spans="1:23" ht="12.75" customHeight="1" x14ac:dyDescent="0.2">
      <c r="A318" s="386" t="s">
        <v>2332</v>
      </c>
      <c r="B318" s="398" t="s">
        <v>1115</v>
      </c>
      <c r="C318" s="398" t="s">
        <v>3331</v>
      </c>
      <c r="D318" s="399">
        <v>457529.86</v>
      </c>
      <c r="E318" s="399">
        <v>1144749.8400000001</v>
      </c>
      <c r="F318" s="399">
        <v>47262692.510000043</v>
      </c>
      <c r="G318" s="524">
        <f t="shared" si="26"/>
        <v>48864972.210000046</v>
      </c>
      <c r="H318" s="400">
        <f>SUMIF('Mix Substation Location Summary'!$B$4:$B$107,B318,'Mix Substation Location Summary'!$C$4:$C$107)</f>
        <v>58555.716471006795</v>
      </c>
      <c r="I318" s="400">
        <f>SUMIF('Mix Substation Location Summary'!$B$4:$B$107,B318,'Mix Substation Location Summary'!$G$4:$G$107)</f>
        <v>146507.69910683075</v>
      </c>
      <c r="J318" s="400">
        <f>SUMIF('Mix Substation Location Summary'!$B$4:$B$107,B318,'Mix Substation Location Summary'!$K$4:$K$107)</f>
        <v>6048787.334387172</v>
      </c>
      <c r="K318" s="400">
        <f>SUMIF('Mix Substation Location Summary'!$B$4:$B$107,B318,'Mix Substation Location Summary'!$D$4:$D$107)+SUMIF('Mix Substation Location Summary'!$B$4:$B$107,B318,'Mix Substation Location Summary'!$E$4:$E$107)</f>
        <v>398974.14352899313</v>
      </c>
      <c r="L318" s="400">
        <f>SUMIF('Mix Substation Location Summary'!$B$4:$B$107,B318,'Mix Substation Location Summary'!$H$4:$H$107)+SUMIF('Mix Substation Location Summary'!$B$4:$B$107,B318,'Mix Substation Location Summary'!$I$4:$I$107)</f>
        <v>998242.14089316921</v>
      </c>
      <c r="M318" s="400">
        <f>SUMIF('Mix Substation Location Summary'!$B$4:$B$107,B318,'Mix Substation Location Summary'!$L$4:$L$107)+SUMIF('Mix Substation Location Summary'!$B$4:$B$107,B318,'Mix Substation Location Summary'!$M$4:$M$107)</f>
        <v>41213905.175612822</v>
      </c>
      <c r="N318" s="398" t="s">
        <v>1482</v>
      </c>
      <c r="O318" s="398" t="s">
        <v>1476</v>
      </c>
      <c r="P318" s="403">
        <f>SUMIF('Antelope Bailey Split BA'!$B$7:$B$29,B318,'Antelope Bailey Split BA'!$C$7:$C$29)</f>
        <v>0</v>
      </c>
      <c r="Q318" s="403" t="str">
        <f>IF(AND(P318=1,'Plant Total by Account'!$H$1=2),"EKWRA","")</f>
        <v/>
      </c>
      <c r="S318" s="403">
        <f>SUMIF('ISO w_System Splits'!$D$524:$D$615,B318,'ISO w_System Splits'!$P$524:$P$615)</f>
        <v>0</v>
      </c>
      <c r="T318" s="403" t="str">
        <f>IF(AND(S318&lt;&gt;0,'Plant Total by Account'!$H$1=2),"EKWRA TL Change","")</f>
        <v/>
      </c>
      <c r="V318" s="77">
        <v>5013</v>
      </c>
      <c r="W318" s="404">
        <f t="shared" si="24"/>
        <v>0</v>
      </c>
    </row>
    <row r="319" spans="1:23" ht="12.75" customHeight="1" x14ac:dyDescent="0.2">
      <c r="A319" s="386" t="s">
        <v>2333</v>
      </c>
      <c r="B319" s="398" t="s">
        <v>168</v>
      </c>
      <c r="C319" s="398" t="s">
        <v>3331</v>
      </c>
      <c r="D319" s="399">
        <v>97954.96</v>
      </c>
      <c r="E319" s="399">
        <v>2208449.71</v>
      </c>
      <c r="F319" s="399">
        <v>23433260.869999968</v>
      </c>
      <c r="G319" s="524">
        <f t="shared" si="26"/>
        <v>25739665.539999969</v>
      </c>
      <c r="H319" s="400">
        <f>SUMIF('Mix Substation Location Summary'!$B$4:$B$107,B319,'Mix Substation Location Summary'!$C$4:$C$107)</f>
        <v>9780.3842604627225</v>
      </c>
      <c r="I319" s="400">
        <f>SUMIF('Mix Substation Location Summary'!$B$4:$B$107,B319,'Mix Substation Location Summary'!$G$4:$G$107)</f>
        <v>220504.2683260497</v>
      </c>
      <c r="J319" s="400">
        <f>SUMIF('Mix Substation Location Summary'!$B$4:$B$107,B319,'Mix Substation Location Summary'!$K$4:$K$107)</f>
        <v>2347571.0526886126</v>
      </c>
      <c r="K319" s="400">
        <f>SUMIF('Mix Substation Location Summary'!$B$4:$B$107,B319,'Mix Substation Location Summary'!$D$4:$D$107)+SUMIF('Mix Substation Location Summary'!$B$4:$B$107,B319,'Mix Substation Location Summary'!$E$4:$E$107)</f>
        <v>88174.575739537293</v>
      </c>
      <c r="L319" s="400">
        <f>SUMIF('Mix Substation Location Summary'!$B$4:$B$107,B319,'Mix Substation Location Summary'!$H$4:$H$107)+SUMIF('Mix Substation Location Summary'!$B$4:$B$107,B319,'Mix Substation Location Summary'!$I$4:$I$107)</f>
        <v>1987945.4416739503</v>
      </c>
      <c r="M319" s="400">
        <f>SUMIF('Mix Substation Location Summary'!$B$4:$B$107,B319,'Mix Substation Location Summary'!$L$4:$L$107)+SUMIF('Mix Substation Location Summary'!$B$4:$B$107,B319,'Mix Substation Location Summary'!$M$4:$M$107)</f>
        <v>21085689.817311388</v>
      </c>
      <c r="N319" s="398" t="s">
        <v>1482</v>
      </c>
      <c r="O319" s="398" t="s">
        <v>1476</v>
      </c>
      <c r="P319" s="403">
        <f>SUMIF('Antelope Bailey Split BA'!$B$7:$B$29,B319,'Antelope Bailey Split BA'!$C$7:$C$29)</f>
        <v>0</v>
      </c>
      <c r="Q319" s="403" t="str">
        <f>IF(AND(P319=1,'Plant Total by Account'!$H$1=2),"EKWRA","")</f>
        <v/>
      </c>
      <c r="S319" s="403">
        <f>SUMIF('ISO w_System Splits'!$D$524:$D$615,B319,'ISO w_System Splits'!$P$524:$P$615)</f>
        <v>0</v>
      </c>
      <c r="T319" s="403" t="str">
        <f>IF(AND(S319&lt;&gt;0,'Plant Total by Account'!$H$1=2),"EKWRA TL Change","")</f>
        <v/>
      </c>
      <c r="V319" s="77">
        <v>5014</v>
      </c>
      <c r="W319" s="404">
        <f t="shared" si="24"/>
        <v>0</v>
      </c>
    </row>
    <row r="320" spans="1:23" ht="12.75" customHeight="1" x14ac:dyDescent="0.2">
      <c r="A320" s="386" t="s">
        <v>2334</v>
      </c>
      <c r="B320" s="398" t="s">
        <v>1116</v>
      </c>
      <c r="C320" s="398" t="s">
        <v>3331</v>
      </c>
      <c r="D320" s="399">
        <v>29300.3</v>
      </c>
      <c r="E320" s="399">
        <v>543597.55000000005</v>
      </c>
      <c r="F320" s="399">
        <v>19177066.800000012</v>
      </c>
      <c r="G320" s="524">
        <f t="shared" si="26"/>
        <v>19749964.650000013</v>
      </c>
      <c r="H320" s="400">
        <f>SUMIF('Mix Substation Location Summary'!$B$4:$B$107,B320,'Mix Substation Location Summary'!$C$4:$C$107)</f>
        <v>13929.470959183678</v>
      </c>
      <c r="I320" s="400">
        <f>SUMIF('Mix Substation Location Summary'!$B$4:$B$107,B320,'Mix Substation Location Summary'!$G$4:$G$107)</f>
        <v>258428.28524651274</v>
      </c>
      <c r="J320" s="400">
        <f>SUMIF('Mix Substation Location Summary'!$B$4:$B$107,B320,'Mix Substation Location Summary'!$K$4:$K$107)</f>
        <v>9116848.4647913352</v>
      </c>
      <c r="K320" s="400">
        <f>SUMIF('Mix Substation Location Summary'!$B$4:$B$107,B320,'Mix Substation Location Summary'!$D$4:$D$107)+SUMIF('Mix Substation Location Summary'!$B$4:$B$107,B320,'Mix Substation Location Summary'!$E$4:$E$107)</f>
        <v>15370.829040816319</v>
      </c>
      <c r="L320" s="400">
        <f>SUMIF('Mix Substation Location Summary'!$B$4:$B$107,B320,'Mix Substation Location Summary'!$H$4:$H$107)+SUMIF('Mix Substation Location Summary'!$B$4:$B$107,B320,'Mix Substation Location Summary'!$I$4:$I$107)</f>
        <v>285169.26475348719</v>
      </c>
      <c r="M320" s="400">
        <f>SUMIF('Mix Substation Location Summary'!$B$4:$B$107,B320,'Mix Substation Location Summary'!$L$4:$L$107)+SUMIF('Mix Substation Location Summary'!$B$4:$B$107,B320,'Mix Substation Location Summary'!$M$4:$M$107)</f>
        <v>10060218.335208666</v>
      </c>
      <c r="N320" s="398" t="s">
        <v>1482</v>
      </c>
      <c r="O320" s="398" t="s">
        <v>1476</v>
      </c>
      <c r="P320" s="403">
        <f>SUMIF('Antelope Bailey Split BA'!$B$7:$B$29,B320,'Antelope Bailey Split BA'!$C$7:$C$29)</f>
        <v>0</v>
      </c>
      <c r="Q320" s="403" t="str">
        <f>IF(AND(P320=1,'Plant Total by Account'!$H$1=2),"EKWRA","")</f>
        <v/>
      </c>
      <c r="S320" s="403">
        <f>SUMIF('ISO w_System Splits'!$D$524:$D$615,B320,'ISO w_System Splits'!$P$524:$P$615)</f>
        <v>0</v>
      </c>
      <c r="T320" s="403" t="str">
        <f>IF(AND(S320&lt;&gt;0,'Plant Total by Account'!$H$1=2),"EKWRA TL Change","")</f>
        <v/>
      </c>
      <c r="V320" s="77">
        <v>5015</v>
      </c>
      <c r="W320" s="404">
        <f t="shared" si="24"/>
        <v>0</v>
      </c>
    </row>
    <row r="321" spans="1:23" ht="12.75" customHeight="1" x14ac:dyDescent="0.2">
      <c r="A321" s="386" t="s">
        <v>2337</v>
      </c>
      <c r="B321" s="398" t="s">
        <v>1119</v>
      </c>
      <c r="C321" s="398" t="s">
        <v>3331</v>
      </c>
      <c r="D321" s="399">
        <v>101370</v>
      </c>
      <c r="E321" s="399">
        <v>4603204.09</v>
      </c>
      <c r="F321" s="399">
        <v>34793294.269999944</v>
      </c>
      <c r="G321" s="524">
        <f t="shared" si="26"/>
        <v>39497868.35999994</v>
      </c>
      <c r="H321" s="400">
        <f>SUMIF('Mix Substation Location Summary'!$B$4:$B$107,B321,'Mix Substation Location Summary'!$C$4:$C$107)</f>
        <v>30366.889969275468</v>
      </c>
      <c r="I321" s="400">
        <f>SUMIF('Mix Substation Location Summary'!$B$4:$B$107,B321,'Mix Substation Location Summary'!$G$4:$G$107)</f>
        <v>1379589.3358292256</v>
      </c>
      <c r="J321" s="400">
        <f>SUMIF('Mix Substation Location Summary'!$B$4:$B$107,B321,'Mix Substation Location Summary'!$K$4:$K$107)</f>
        <v>10413664.419692224</v>
      </c>
      <c r="K321" s="400">
        <f>SUMIF('Mix Substation Location Summary'!$B$4:$B$107,B321,'Mix Substation Location Summary'!$D$4:$D$107)+SUMIF('Mix Substation Location Summary'!$B$4:$B$107,B321,'Mix Substation Location Summary'!$E$4:$E$107)</f>
        <v>71003.110030724521</v>
      </c>
      <c r="L321" s="400">
        <f>SUMIF('Mix Substation Location Summary'!$B$4:$B$107,B321,'Mix Substation Location Summary'!$H$4:$H$107)+SUMIF('Mix Substation Location Summary'!$B$4:$B$107,B321,'Mix Substation Location Summary'!$I$4:$I$107)</f>
        <v>3223614.7541707745</v>
      </c>
      <c r="M321" s="400">
        <f>SUMIF('Mix Substation Location Summary'!$B$4:$B$107,B321,'Mix Substation Location Summary'!$L$4:$L$107)+SUMIF('Mix Substation Location Summary'!$B$4:$B$107,B321,'Mix Substation Location Summary'!$M$4:$M$107)</f>
        <v>24379629.850307778</v>
      </c>
      <c r="N321" s="398" t="s">
        <v>1482</v>
      </c>
      <c r="O321" s="398" t="s">
        <v>1476</v>
      </c>
      <c r="P321" s="403">
        <f>SUMIF('Antelope Bailey Split BA'!$B$7:$B$29,B321,'Antelope Bailey Split BA'!$C$7:$C$29)</f>
        <v>0</v>
      </c>
      <c r="Q321" s="403" t="str">
        <f>IF(AND(P321=1,'Plant Total by Account'!$H$1=2),"EKWRA","")</f>
        <v/>
      </c>
      <c r="S321" s="403">
        <f>SUMIF('ISO w_System Splits'!$D$524:$D$615,B321,'ISO w_System Splits'!$P$524:$P$615)</f>
        <v>0</v>
      </c>
      <c r="T321" s="403" t="str">
        <f>IF(AND(S321&lt;&gt;0,'Plant Total by Account'!$H$1=2),"EKWRA TL Change","")</f>
        <v/>
      </c>
      <c r="V321" s="77">
        <v>5021</v>
      </c>
      <c r="W321" s="404">
        <f t="shared" si="24"/>
        <v>0</v>
      </c>
    </row>
    <row r="322" spans="1:23" ht="12.75" customHeight="1" x14ac:dyDescent="0.2">
      <c r="A322" s="386" t="s">
        <v>2339</v>
      </c>
      <c r="B322" s="398" t="s">
        <v>1121</v>
      </c>
      <c r="C322" s="398" t="s">
        <v>3331</v>
      </c>
      <c r="D322" s="399">
        <v>285619.89</v>
      </c>
      <c r="E322" s="399">
        <v>3319374.8400000003</v>
      </c>
      <c r="F322" s="399">
        <v>22103611.749999993</v>
      </c>
      <c r="G322" s="524">
        <f t="shared" si="26"/>
        <v>25708606.479999993</v>
      </c>
      <c r="H322" s="400">
        <f>SUMIF('Mix Substation Location Summary'!$B$4:$B$107,B322,'Mix Substation Location Summary'!$C$4:$C$107)</f>
        <v>54342.427400787361</v>
      </c>
      <c r="I322" s="400">
        <f>SUMIF('Mix Substation Location Summary'!$B$4:$B$107,B322,'Mix Substation Location Summary'!$G$4:$G$107)</f>
        <v>631548.75614124839</v>
      </c>
      <c r="J322" s="400">
        <f>SUMIF('Mix Substation Location Summary'!$B$4:$B$107,B322,'Mix Substation Location Summary'!$K$4:$K$107)</f>
        <v>4205463.1308049513</v>
      </c>
      <c r="K322" s="400">
        <f>SUMIF('Mix Substation Location Summary'!$B$4:$B$107,B322,'Mix Substation Location Summary'!$D$4:$D$107)+SUMIF('Mix Substation Location Summary'!$B$4:$B$107,B322,'Mix Substation Location Summary'!$E$4:$E$107)</f>
        <v>231277.46259921259</v>
      </c>
      <c r="L322" s="400">
        <f>SUMIF('Mix Substation Location Summary'!$B$4:$B$107,B322,'Mix Substation Location Summary'!$H$4:$H$107)+SUMIF('Mix Substation Location Summary'!$B$4:$B$107,B322,'Mix Substation Location Summary'!$I$4:$I$107)</f>
        <v>2687826.0838587512</v>
      </c>
      <c r="M322" s="400">
        <f>SUMIF('Mix Substation Location Summary'!$B$4:$B$107,B322,'Mix Substation Location Summary'!$L$4:$L$107)+SUMIF('Mix Substation Location Summary'!$B$4:$B$107,B322,'Mix Substation Location Summary'!$M$4:$M$107)</f>
        <v>17898148.619195051</v>
      </c>
      <c r="N322" s="398" t="s">
        <v>1482</v>
      </c>
      <c r="O322" s="398" t="s">
        <v>1476</v>
      </c>
      <c r="P322" s="403">
        <f>SUMIF('Antelope Bailey Split BA'!$B$7:$B$29,B322,'Antelope Bailey Split BA'!$C$7:$C$29)</f>
        <v>0</v>
      </c>
      <c r="Q322" s="403" t="str">
        <f>IF(AND(P322=1,'Plant Total by Account'!$H$1=2),"EKWRA","")</f>
        <v/>
      </c>
      <c r="S322" s="403">
        <f>SUMIF('ISO w_System Splits'!$D$524:$D$615,B322,'ISO w_System Splits'!$P$524:$P$615)</f>
        <v>0</v>
      </c>
      <c r="T322" s="403" t="str">
        <f>IF(AND(S322&lt;&gt;0,'Plant Total by Account'!$H$1=2),"EKWRA TL Change","")</f>
        <v/>
      </c>
      <c r="V322" s="77">
        <v>5023</v>
      </c>
      <c r="W322" s="404">
        <f t="shared" si="24"/>
        <v>0</v>
      </c>
    </row>
    <row r="323" spans="1:23" ht="12.75" customHeight="1" x14ac:dyDescent="0.2">
      <c r="A323" s="386" t="s">
        <v>2340</v>
      </c>
      <c r="B323" s="398" t="s">
        <v>1122</v>
      </c>
      <c r="C323" s="398" t="s">
        <v>3331</v>
      </c>
      <c r="D323" s="399">
        <v>2100226.91</v>
      </c>
      <c r="E323" s="399">
        <v>3940662.6499999994</v>
      </c>
      <c r="F323" s="399">
        <v>15262144.049999997</v>
      </c>
      <c r="G323" s="524">
        <f t="shared" si="26"/>
        <v>21303033.609999996</v>
      </c>
      <c r="H323" s="400">
        <f>SUMIF('Mix Substation Location Summary'!$B$4:$B$107,B323,'Mix Substation Location Summary'!$C$4:$C$107)</f>
        <v>838723.3867811875</v>
      </c>
      <c r="I323" s="400">
        <f>SUMIF('Mix Substation Location Summary'!$B$4:$B$107,B323,'Mix Substation Location Summary'!$G$4:$G$107)</f>
        <v>1573699.4456328191</v>
      </c>
      <c r="J323" s="400">
        <f>SUMIF('Mix Substation Location Summary'!$B$4:$B$107,B323,'Mix Substation Location Summary'!$K$4:$K$107)</f>
        <v>6094921.0231566578</v>
      </c>
      <c r="K323" s="400">
        <f>SUMIF('Mix Substation Location Summary'!$B$4:$B$107,B323,'Mix Substation Location Summary'!$D$4:$D$107)+SUMIF('Mix Substation Location Summary'!$B$4:$B$107,B323,'Mix Substation Location Summary'!$E$4:$E$107)</f>
        <v>1261503.5232188124</v>
      </c>
      <c r="L323" s="400">
        <f>SUMIF('Mix Substation Location Summary'!$B$4:$B$107,B323,'Mix Substation Location Summary'!$H$4:$H$107)+SUMIF('Mix Substation Location Summary'!$B$4:$B$107,B323,'Mix Substation Location Summary'!$I$4:$I$107)</f>
        <v>2366963.2043671813</v>
      </c>
      <c r="M323" s="400">
        <f>SUMIF('Mix Substation Location Summary'!$B$4:$B$107,B323,'Mix Substation Location Summary'!$L$4:$L$107)+SUMIF('Mix Substation Location Summary'!$B$4:$B$107,B323,'Mix Substation Location Summary'!$M$4:$M$107)</f>
        <v>9167223.0268433411</v>
      </c>
      <c r="N323" s="398" t="s">
        <v>1482</v>
      </c>
      <c r="O323" s="398" t="s">
        <v>1476</v>
      </c>
      <c r="P323" s="403">
        <f>SUMIF('Antelope Bailey Split BA'!$B$7:$B$29,B323,'Antelope Bailey Split BA'!$C$7:$C$29)</f>
        <v>0</v>
      </c>
      <c r="Q323" s="403" t="str">
        <f>IF(AND(P323=1,'Plant Total by Account'!$H$1=2),"EKWRA","")</f>
        <v/>
      </c>
      <c r="S323" s="403">
        <f>SUMIF('ISO w_System Splits'!$D$524:$D$615,B323,'ISO w_System Splits'!$P$524:$P$615)</f>
        <v>0</v>
      </c>
      <c r="T323" s="403" t="str">
        <f>IF(AND(S323&lt;&gt;0,'Plant Total by Account'!$H$1=2),"EKWRA TL Change","")</f>
        <v/>
      </c>
      <c r="V323" s="77">
        <v>5024</v>
      </c>
      <c r="W323" s="404">
        <f t="shared" si="24"/>
        <v>0</v>
      </c>
    </row>
    <row r="324" spans="1:23" ht="12.75" customHeight="1" x14ac:dyDescent="0.2">
      <c r="A324" s="386" t="s">
        <v>2341</v>
      </c>
      <c r="B324" s="398" t="s">
        <v>1123</v>
      </c>
      <c r="C324" s="398" t="s">
        <v>3331</v>
      </c>
      <c r="D324" s="399">
        <v>63557.16</v>
      </c>
      <c r="E324" s="399">
        <v>95627.97</v>
      </c>
      <c r="F324" s="399">
        <v>12620771.860000014</v>
      </c>
      <c r="G324" s="524">
        <f t="shared" si="26"/>
        <v>12779956.990000015</v>
      </c>
      <c r="H324" s="400">
        <f>SUMIF('Mix Substation Location Summary'!$B$4:$B$107,B324,'Mix Substation Location Summary'!$C$4:$C$107)</f>
        <v>33845.112146383071</v>
      </c>
      <c r="I324" s="400">
        <f>SUMIF('Mix Substation Location Summary'!$B$4:$B$107,B324,'Mix Substation Location Summary'!$G$4:$G$107)</f>
        <v>50923.28494509439</v>
      </c>
      <c r="J324" s="400">
        <f>SUMIF('Mix Substation Location Summary'!$B$4:$B$107,B324,'Mix Substation Location Summary'!$K$4:$K$107)</f>
        <v>6720744.5860641934</v>
      </c>
      <c r="K324" s="400">
        <f>SUMIF('Mix Substation Location Summary'!$B$4:$B$107,B324,'Mix Substation Location Summary'!$D$4:$D$107)+SUMIF('Mix Substation Location Summary'!$B$4:$B$107,B324,'Mix Substation Location Summary'!$E$4:$E$107)</f>
        <v>29712.047853616939</v>
      </c>
      <c r="L324" s="400">
        <f>SUMIF('Mix Substation Location Summary'!$B$4:$B$107,B324,'Mix Substation Location Summary'!$H$4:$H$107)+SUMIF('Mix Substation Location Summary'!$B$4:$B$107,B324,'Mix Substation Location Summary'!$I$4:$I$107)</f>
        <v>44704.685054905611</v>
      </c>
      <c r="M324" s="400">
        <f>SUMIF('Mix Substation Location Summary'!$B$4:$B$107,B324,'Mix Substation Location Summary'!$L$4:$L$107)+SUMIF('Mix Substation Location Summary'!$B$4:$B$107,B324,'Mix Substation Location Summary'!$M$4:$M$107)</f>
        <v>5900027.2739358088</v>
      </c>
      <c r="N324" s="398" t="s">
        <v>1482</v>
      </c>
      <c r="O324" s="398" t="s">
        <v>1476</v>
      </c>
      <c r="P324" s="403">
        <f>SUMIF('Antelope Bailey Split BA'!$B$7:$B$29,B324,'Antelope Bailey Split BA'!$C$7:$C$29)</f>
        <v>0</v>
      </c>
      <c r="Q324" s="403" t="str">
        <f>IF(AND(P324=1,'Plant Total by Account'!$H$1=2),"EKWRA","")</f>
        <v/>
      </c>
      <c r="S324" s="403">
        <f>SUMIF('ISO w_System Splits'!$D$524:$D$615,B324,'ISO w_System Splits'!$P$524:$P$615)</f>
        <v>0</v>
      </c>
      <c r="T324" s="403" t="str">
        <f>IF(AND(S324&lt;&gt;0,'Plant Total by Account'!$H$1=2),"EKWRA TL Change","")</f>
        <v/>
      </c>
      <c r="V324" s="77">
        <v>5025</v>
      </c>
      <c r="W324" s="404">
        <f t="shared" si="24"/>
        <v>0</v>
      </c>
    </row>
    <row r="325" spans="1:23" ht="12.75" customHeight="1" x14ac:dyDescent="0.2">
      <c r="A325" s="386" t="s">
        <v>2342</v>
      </c>
      <c r="B325" s="398" t="s">
        <v>1356</v>
      </c>
      <c r="C325" s="398" t="s">
        <v>3331</v>
      </c>
      <c r="D325" s="399">
        <v>97213.22</v>
      </c>
      <c r="E325" s="399">
        <v>1323464.2100000004</v>
      </c>
      <c r="F325" s="399">
        <v>5337513.5300000086</v>
      </c>
      <c r="G325" s="524">
        <f t="shared" si="26"/>
        <v>6758190.9600000093</v>
      </c>
      <c r="H325" s="400">
        <f>SUMIF('Mix Substation Location Summary'!$B$4:$B$107,B325,'Mix Substation Location Summary'!$C$4:$C$107)</f>
        <v>58786.783767913425</v>
      </c>
      <c r="I325" s="400">
        <f>SUMIF('Mix Substation Location Summary'!$B$4:$B$107,B325,'Mix Substation Location Summary'!$G$4:$G$107)</f>
        <v>800325.35017194541</v>
      </c>
      <c r="J325" s="400">
        <f>SUMIF('Mix Substation Location Summary'!$B$4:$B$107,B325,'Mix Substation Location Summary'!$K$4:$K$107)</f>
        <v>3227701.4766759323</v>
      </c>
      <c r="K325" s="400">
        <f>SUMIF('Mix Substation Location Summary'!$B$4:$B$107,B325,'Mix Substation Location Summary'!$D$4:$D$107)+SUMIF('Mix Substation Location Summary'!$B$4:$B$107,B325,'Mix Substation Location Summary'!$E$4:$E$107)</f>
        <v>38426.436232086584</v>
      </c>
      <c r="L325" s="400">
        <f>SUMIF('Mix Substation Location Summary'!$B$4:$B$107,B325,'Mix Substation Location Summary'!$H$4:$H$107)+SUMIF('Mix Substation Location Summary'!$B$4:$B$107,B325,'Mix Substation Location Summary'!$I$4:$I$107)</f>
        <v>523138.85982805479</v>
      </c>
      <c r="M325" s="400">
        <f>SUMIF('Mix Substation Location Summary'!$B$4:$B$107,B325,'Mix Substation Location Summary'!$L$4:$L$107)+SUMIF('Mix Substation Location Summary'!$B$4:$B$107,B325,'Mix Substation Location Summary'!$M$4:$M$107)</f>
        <v>2109812.053324068</v>
      </c>
      <c r="N325" s="398" t="s">
        <v>1482</v>
      </c>
      <c r="O325" s="398" t="s">
        <v>1476</v>
      </c>
      <c r="P325" s="403">
        <f>SUMIF('Antelope Bailey Split BA'!$B$7:$B$29,B325,'Antelope Bailey Split BA'!$C$7:$C$29)</f>
        <v>0</v>
      </c>
      <c r="Q325" s="403" t="str">
        <f>IF(AND(P325=1,'Plant Total by Account'!$H$1=2),"EKWRA","")</f>
        <v/>
      </c>
      <c r="S325" s="403">
        <f>SUMIF('ISO w_System Splits'!$D$524:$D$615,B325,'ISO w_System Splits'!$P$524:$P$615)</f>
        <v>0</v>
      </c>
      <c r="T325" s="403" t="str">
        <f>IF(AND(S325&lt;&gt;0,'Plant Total by Account'!$H$1=2),"EKWRA TL Change","")</f>
        <v/>
      </c>
      <c r="V325" s="77" t="s">
        <v>1356</v>
      </c>
      <c r="W325" s="404">
        <f t="shared" si="24"/>
        <v>0</v>
      </c>
    </row>
    <row r="326" spans="1:23" ht="12.75" customHeight="1" x14ac:dyDescent="0.2">
      <c r="A326" s="386" t="s">
        <v>2343</v>
      </c>
      <c r="B326" s="398" t="s">
        <v>1124</v>
      </c>
      <c r="C326" s="398" t="s">
        <v>3331</v>
      </c>
      <c r="D326" s="399">
        <v>13018.300000000001</v>
      </c>
      <c r="E326" s="399">
        <v>25661.670000000002</v>
      </c>
      <c r="F326" s="399">
        <v>5579428.9099999992</v>
      </c>
      <c r="G326" s="524">
        <f t="shared" si="26"/>
        <v>5618108.879999999</v>
      </c>
      <c r="H326" s="400">
        <f>SUMIF('Mix Substation Location Summary'!$B$4:$B$107,B326,'Mix Substation Location Summary'!$C$4:$C$107)</f>
        <v>8944.102999765686</v>
      </c>
      <c r="I326" s="400">
        <f>SUMIF('Mix Substation Location Summary'!$B$4:$B$107,B326,'Mix Substation Location Summary'!$G$4:$G$107)</f>
        <v>17630.613799497409</v>
      </c>
      <c r="J326" s="400">
        <f>SUMIF('Mix Substation Location Summary'!$B$4:$B$107,B326,'Mix Substation Location Summary'!$K$4:$K$107)</f>
        <v>3833295.1960632643</v>
      </c>
      <c r="K326" s="400">
        <f>SUMIF('Mix Substation Location Summary'!$B$4:$B$107,B326,'Mix Substation Location Summary'!$D$4:$D$107)+SUMIF('Mix Substation Location Summary'!$B$4:$B$107,B326,'Mix Substation Location Summary'!$E$4:$E$107)</f>
        <v>4074.1970002343137</v>
      </c>
      <c r="L326" s="400">
        <f>SUMIF('Mix Substation Location Summary'!$B$4:$B$107,B326,'Mix Substation Location Summary'!$H$4:$H$107)+SUMIF('Mix Substation Location Summary'!$B$4:$B$107,B326,'Mix Substation Location Summary'!$I$4:$I$107)</f>
        <v>8031.0562005025913</v>
      </c>
      <c r="M326" s="400">
        <f>SUMIF('Mix Substation Location Summary'!$B$4:$B$107,B326,'Mix Substation Location Summary'!$L$4:$L$107)+SUMIF('Mix Substation Location Summary'!$B$4:$B$107,B326,'Mix Substation Location Summary'!$M$4:$M$107)</f>
        <v>1746133.7139367359</v>
      </c>
      <c r="N326" s="398" t="s">
        <v>1482</v>
      </c>
      <c r="O326" s="398" t="s">
        <v>1476</v>
      </c>
      <c r="P326" s="403">
        <f>SUMIF('Antelope Bailey Split BA'!$B$7:$B$29,B326,'Antelope Bailey Split BA'!$C$7:$C$29)</f>
        <v>0</v>
      </c>
      <c r="Q326" s="403" t="str">
        <f>IF(AND(P326=1,'Plant Total by Account'!$H$1=2),"EKWRA","")</f>
        <v/>
      </c>
      <c r="S326" s="403">
        <f>SUMIF('ISO w_System Splits'!$D$524:$D$615,B326,'ISO w_System Splits'!$P$524:$P$615)</f>
        <v>0</v>
      </c>
      <c r="T326" s="403" t="str">
        <f>IF(AND(S326&lt;&gt;0,'Plant Total by Account'!$H$1=2),"EKWRA TL Change","")</f>
        <v/>
      </c>
      <c r="V326" s="77">
        <v>5028</v>
      </c>
      <c r="W326" s="404">
        <f t="shared" si="24"/>
        <v>0</v>
      </c>
    </row>
    <row r="327" spans="1:23" ht="12.75" customHeight="1" x14ac:dyDescent="0.2">
      <c r="A327" s="386" t="s">
        <v>2344</v>
      </c>
      <c r="B327" s="398" t="s">
        <v>1125</v>
      </c>
      <c r="C327" s="398" t="s">
        <v>3331</v>
      </c>
      <c r="D327" s="399">
        <v>8363</v>
      </c>
      <c r="E327" s="399">
        <v>1082971.0200000003</v>
      </c>
      <c r="F327" s="399">
        <v>14332635.089999998</v>
      </c>
      <c r="G327" s="524">
        <f t="shared" si="26"/>
        <v>15423969.109999998</v>
      </c>
      <c r="H327" s="400">
        <f>SUMIF('Mix Substation Location Summary'!$B$4:$B$107,B327,'Mix Substation Location Summary'!$C$4:$C$107)</f>
        <v>7946.6323167136188</v>
      </c>
      <c r="I327" s="400">
        <f>SUMIF('Mix Substation Location Summary'!$B$4:$B$107,B327,'Mix Substation Location Summary'!$G$4:$G$107)</f>
        <v>1029213.5247126948</v>
      </c>
      <c r="J327" s="400">
        <f>SUMIF('Mix Substation Location Summary'!$B$4:$B$107,B327,'Mix Substation Location Summary'!$K$4:$K$107)</f>
        <v>13618897.642984774</v>
      </c>
      <c r="K327" s="400">
        <f>SUMIF('Mix Substation Location Summary'!$B$4:$B$107,B327,'Mix Substation Location Summary'!$D$4:$D$107)+SUMIF('Mix Substation Location Summary'!$B$4:$B$107,B327,'Mix Substation Location Summary'!$E$4:$E$107)</f>
        <v>416.36768328638072</v>
      </c>
      <c r="L327" s="400">
        <f>SUMIF('Mix Substation Location Summary'!$B$4:$B$107,B327,'Mix Substation Location Summary'!$H$4:$H$107)+SUMIF('Mix Substation Location Summary'!$B$4:$B$107,B327,'Mix Substation Location Summary'!$I$4:$I$107)</f>
        <v>53757.495287305122</v>
      </c>
      <c r="M327" s="400">
        <f>SUMIF('Mix Substation Location Summary'!$B$4:$B$107,B327,'Mix Substation Location Summary'!$L$4:$L$107)+SUMIF('Mix Substation Location Summary'!$B$4:$B$107,B327,'Mix Substation Location Summary'!$M$4:$M$107)</f>
        <v>713737.44701522694</v>
      </c>
      <c r="N327" s="398" t="s">
        <v>1482</v>
      </c>
      <c r="O327" s="398" t="s">
        <v>1476</v>
      </c>
      <c r="P327" s="403">
        <f>SUMIF('Antelope Bailey Split BA'!$B$7:$B$29,B327,'Antelope Bailey Split BA'!$C$7:$C$29)</f>
        <v>0</v>
      </c>
      <c r="Q327" s="403" t="str">
        <f>IF(AND(P327=1,'Plant Total by Account'!$H$1=2),"EKWRA","")</f>
        <v/>
      </c>
      <c r="S327" s="403">
        <f>SUMIF('ISO w_System Splits'!$D$524:$D$615,B327,'ISO w_System Splits'!$P$524:$P$615)</f>
        <v>0</v>
      </c>
      <c r="T327" s="403" t="str">
        <f>IF(AND(S327&lt;&gt;0,'Plant Total by Account'!$H$1=2),"EKWRA TL Change","")</f>
        <v/>
      </c>
      <c r="V327" s="77">
        <v>5031</v>
      </c>
      <c r="W327" s="404">
        <f t="shared" si="24"/>
        <v>3.2014213502407074E-10</v>
      </c>
    </row>
    <row r="328" spans="1:23" ht="12.75" customHeight="1" x14ac:dyDescent="0.2">
      <c r="A328" s="386" t="s">
        <v>2346</v>
      </c>
      <c r="B328" s="398" t="s">
        <v>128</v>
      </c>
      <c r="C328" s="398" t="s">
        <v>3331</v>
      </c>
      <c r="D328" s="399">
        <v>393170.45</v>
      </c>
      <c r="E328" s="399">
        <v>12235172.970000003</v>
      </c>
      <c r="F328" s="399">
        <v>81933144.450000063</v>
      </c>
      <c r="G328" s="524">
        <f t="shared" si="26"/>
        <v>94561487.870000064</v>
      </c>
      <c r="H328" s="400">
        <f>SUMIF('Mix Substation Location Summary'!$B$4:$B$107,B328,'Mix Substation Location Summary'!$C$4:$C$107)</f>
        <v>160489.91288454912</v>
      </c>
      <c r="I328" s="400">
        <f>SUMIF('Mix Substation Location Summary'!$B$4:$B$107,B328,'Mix Substation Location Summary'!$G$4:$G$107)</f>
        <v>4821855.5014067097</v>
      </c>
      <c r="J328" s="400">
        <f>SUMIF('Mix Substation Location Summary'!$B$4:$B$107,B328,'Mix Substation Location Summary'!$K$4:$K$107)</f>
        <v>33876468.440041311</v>
      </c>
      <c r="K328" s="400">
        <f>SUMIF('Mix Substation Location Summary'!$B$4:$B$107,B328,'Mix Substation Location Summary'!$D$4:$D$107)+SUMIF('Mix Substation Location Summary'!$B$4:$B$107,B328,'Mix Substation Location Summary'!$E$4:$E$107)</f>
        <v>232680.53711545083</v>
      </c>
      <c r="L328" s="400">
        <f>SUMIF('Mix Substation Location Summary'!$B$4:$B$107,B328,'Mix Substation Location Summary'!$H$4:$H$107)+SUMIF('Mix Substation Location Summary'!$B$4:$B$107,B328,'Mix Substation Location Summary'!$I$4:$I$107)</f>
        <v>7413317.4685932891</v>
      </c>
      <c r="M328" s="400">
        <f>SUMIF('Mix Substation Location Summary'!$B$4:$B$107,B328,'Mix Substation Location Summary'!$L$4:$L$107)+SUMIF('Mix Substation Location Summary'!$B$4:$B$107,B328,'Mix Substation Location Summary'!$M$4:$M$107)</f>
        <v>48056676.009958684</v>
      </c>
      <c r="N328" s="398" t="s">
        <v>1482</v>
      </c>
      <c r="O328" s="398" t="s">
        <v>1476</v>
      </c>
      <c r="P328" s="403">
        <f>SUMIF('Antelope Bailey Split BA'!$B$7:$B$29,B328,'Antelope Bailey Split BA'!$C$7:$C$29)</f>
        <v>0</v>
      </c>
      <c r="Q328" s="403" t="str">
        <f>IF(AND(P328=1,'Plant Total by Account'!$H$1=2),"EKWRA","")</f>
        <v/>
      </c>
      <c r="S328" s="403">
        <f>SUMIF('ISO w_System Splits'!$D$524:$D$615,B328,'ISO w_System Splits'!$P$524:$P$615)</f>
        <v>0</v>
      </c>
      <c r="T328" s="403" t="str">
        <f>IF(AND(S328&lt;&gt;0,'Plant Total by Account'!$H$1=2),"EKWRA TL Change","")</f>
        <v/>
      </c>
      <c r="V328" s="77">
        <v>5033</v>
      </c>
      <c r="W328" s="404">
        <f t="shared" si="24"/>
        <v>0</v>
      </c>
    </row>
    <row r="329" spans="1:23" ht="12.75" customHeight="1" x14ac:dyDescent="0.2">
      <c r="A329" s="386" t="s">
        <v>2347</v>
      </c>
      <c r="B329" s="398" t="s">
        <v>1127</v>
      </c>
      <c r="C329" s="398" t="s">
        <v>3331</v>
      </c>
      <c r="D329" s="399">
        <v>12197.68</v>
      </c>
      <c r="E329" s="399">
        <v>845805.2300000001</v>
      </c>
      <c r="F329" s="399">
        <v>23068946.189999998</v>
      </c>
      <c r="G329" s="524">
        <f t="shared" si="26"/>
        <v>23926949.099999998</v>
      </c>
      <c r="H329" s="400">
        <f>SUMIF('Mix Substation Location Summary'!$B$4:$B$107,B329,'Mix Substation Location Summary'!$C$4:$C$107)</f>
        <v>3567.8569472443664</v>
      </c>
      <c r="I329" s="400">
        <f>SUMIF('Mix Substation Location Summary'!$B$4:$B$107,B329,'Mix Substation Location Summary'!$G$4:$G$107)</f>
        <v>198089.57481482733</v>
      </c>
      <c r="J329" s="400">
        <f>SUMIF('Mix Substation Location Summary'!$B$4:$B$107,B329,'Mix Substation Location Summary'!$K$4:$K$107)</f>
        <v>6797044.9094042284</v>
      </c>
      <c r="K329" s="400">
        <f>SUMIF('Mix Substation Location Summary'!$B$4:$B$107,B329,'Mix Substation Location Summary'!$D$4:$D$107)+SUMIF('Mix Substation Location Summary'!$B$4:$B$107,B329,'Mix Substation Location Summary'!$E$4:$E$107)</f>
        <v>8629.8230527556352</v>
      </c>
      <c r="L329" s="400">
        <f>SUMIF('Mix Substation Location Summary'!$B$4:$B$107,B329,'Mix Substation Location Summary'!$H$4:$H$107)+SUMIF('Mix Substation Location Summary'!$B$4:$B$107,B329,'Mix Substation Location Summary'!$I$4:$I$107)</f>
        <v>647715.65518517292</v>
      </c>
      <c r="M329" s="400">
        <f>SUMIF('Mix Substation Location Summary'!$B$4:$B$107,B329,'Mix Substation Location Summary'!$L$4:$L$107)+SUMIF('Mix Substation Location Summary'!$B$4:$B$107,B329,'Mix Substation Location Summary'!$M$4:$M$107)</f>
        <v>16271901.280595776</v>
      </c>
      <c r="N329" s="398" t="s">
        <v>1482</v>
      </c>
      <c r="O329" s="398" t="s">
        <v>1476</v>
      </c>
      <c r="P329" s="403">
        <f>SUMIF('Antelope Bailey Split BA'!$B$7:$B$29,B329,'Antelope Bailey Split BA'!$C$7:$C$29)</f>
        <v>0</v>
      </c>
      <c r="Q329" s="403" t="str">
        <f>IF(AND(P329=1,'Plant Total by Account'!$H$1=2),"EKWRA","")</f>
        <v/>
      </c>
      <c r="S329" s="403">
        <f>SUMIF('ISO w_System Splits'!$D$524:$D$615,B329,'ISO w_System Splits'!$P$524:$P$615)</f>
        <v>0</v>
      </c>
      <c r="T329" s="403" t="str">
        <f>IF(AND(S329&lt;&gt;0,'Plant Total by Account'!$H$1=2),"EKWRA TL Change","")</f>
        <v/>
      </c>
      <c r="V329" s="77">
        <v>5034</v>
      </c>
      <c r="W329" s="404">
        <f t="shared" si="24"/>
        <v>0</v>
      </c>
    </row>
    <row r="330" spans="1:23" ht="12.75" customHeight="1" x14ac:dyDescent="0.2">
      <c r="A330" s="386" t="s">
        <v>2348</v>
      </c>
      <c r="B330" s="398" t="s">
        <v>1128</v>
      </c>
      <c r="C330" s="398" t="s">
        <v>3331</v>
      </c>
      <c r="D330" s="399">
        <v>7242.88</v>
      </c>
      <c r="E330" s="399">
        <v>1318486</v>
      </c>
      <c r="F330" s="399">
        <v>16947686.589999977</v>
      </c>
      <c r="G330" s="524">
        <f t="shared" si="26"/>
        <v>18273415.469999976</v>
      </c>
      <c r="H330" s="400">
        <f>SUMIF('Mix Substation Location Summary'!$B$4:$B$107,B330,'Mix Substation Location Summary'!$C$4:$C$107)</f>
        <v>2026.257989696604</v>
      </c>
      <c r="I330" s="400">
        <f>SUMIF('Mix Substation Location Summary'!$B$4:$B$107,B330,'Mix Substation Location Summary'!$G$4:$G$107)</f>
        <v>369875.33757074166</v>
      </c>
      <c r="J330" s="400">
        <f>SUMIF('Mix Substation Location Summary'!$B$4:$B$107,B330,'Mix Substation Location Summary'!$K$4:$K$107)</f>
        <v>4740243.5863469038</v>
      </c>
      <c r="K330" s="400">
        <f>SUMIF('Mix Substation Location Summary'!$B$4:$B$107,B330,'Mix Substation Location Summary'!$D$4:$D$107)+SUMIF('Mix Substation Location Summary'!$B$4:$B$107,B330,'Mix Substation Location Summary'!$E$4:$E$107)</f>
        <v>5216.6220103033957</v>
      </c>
      <c r="L330" s="400">
        <f>SUMIF('Mix Substation Location Summary'!$B$4:$B$107,B330,'Mix Substation Location Summary'!$H$4:$H$107)+SUMIF('Mix Substation Location Summary'!$B$4:$B$107,B330,'Mix Substation Location Summary'!$I$4:$I$107)</f>
        <v>948610.66242925846</v>
      </c>
      <c r="M330" s="400">
        <f>SUMIF('Mix Substation Location Summary'!$B$4:$B$107,B330,'Mix Substation Location Summary'!$L$4:$L$107)+SUMIF('Mix Substation Location Summary'!$B$4:$B$107,B330,'Mix Substation Location Summary'!$M$4:$M$107)</f>
        <v>12207443.003653103</v>
      </c>
      <c r="N330" s="398" t="s">
        <v>1482</v>
      </c>
      <c r="O330" s="398" t="s">
        <v>1476</v>
      </c>
      <c r="P330" s="403">
        <f>SUMIF('Antelope Bailey Split BA'!$B$7:$B$29,B330,'Antelope Bailey Split BA'!$C$7:$C$29)</f>
        <v>0</v>
      </c>
      <c r="Q330" s="403" t="str">
        <f>IF(AND(P330=1,'Plant Total by Account'!$H$1=2),"EKWRA","")</f>
        <v/>
      </c>
      <c r="S330" s="403">
        <f>SUMIF('ISO w_System Splits'!$D$524:$D$615,B330,'ISO w_System Splits'!$P$524:$P$615)</f>
        <v>0</v>
      </c>
      <c r="T330" s="403" t="str">
        <f>IF(AND(S330&lt;&gt;0,'Plant Total by Account'!$H$1=2),"EKWRA TL Change","")</f>
        <v/>
      </c>
      <c r="V330" s="77">
        <v>5035</v>
      </c>
      <c r="W330" s="404">
        <f t="shared" ref="W330:W393" si="27">E:E-I:I-L:L</f>
        <v>0</v>
      </c>
    </row>
    <row r="331" spans="1:23" ht="12.75" customHeight="1" x14ac:dyDescent="0.2">
      <c r="A331" s="386" t="s">
        <v>2350</v>
      </c>
      <c r="B331" s="398" t="s">
        <v>1131</v>
      </c>
      <c r="C331" s="398" t="s">
        <v>3331</v>
      </c>
      <c r="D331" s="399">
        <v>0</v>
      </c>
      <c r="E331" s="399">
        <v>242739.13999999998</v>
      </c>
      <c r="F331" s="399">
        <v>7113016.75</v>
      </c>
      <c r="G331" s="524">
        <f t="shared" si="26"/>
        <v>7355755.8899999997</v>
      </c>
      <c r="H331" s="400">
        <f>SUMIF('Mix Substation Location Summary'!$B$4:$B$107,B331,'Mix Substation Location Summary'!$C$4:$C$107)</f>
        <v>0</v>
      </c>
      <c r="I331" s="400">
        <f>SUMIF('Mix Substation Location Summary'!$B$4:$B$107,B331,'Mix Substation Location Summary'!$G$4:$G$107)</f>
        <v>15337.031400230504</v>
      </c>
      <c r="J331" s="400">
        <f>SUMIF('Mix Substation Location Summary'!$B$4:$B$107,B331,'Mix Substation Location Summary'!$K$4:$K$107)</f>
        <v>449423.03595998377</v>
      </c>
      <c r="K331" s="400">
        <f>SUMIF('Mix Substation Location Summary'!$B$4:$B$107,B331,'Mix Substation Location Summary'!$D$4:$D$107)+SUMIF('Mix Substation Location Summary'!$B$4:$B$107,B331,'Mix Substation Location Summary'!$E$4:$E$107)</f>
        <v>0</v>
      </c>
      <c r="L331" s="400">
        <f>SUMIF('Mix Substation Location Summary'!$B$4:$B$107,B331,'Mix Substation Location Summary'!$H$4:$H$107)+SUMIF('Mix Substation Location Summary'!$B$4:$B$107,B331,'Mix Substation Location Summary'!$I$4:$I$107)</f>
        <v>227402.10859976948</v>
      </c>
      <c r="M331" s="400">
        <f>SUMIF('Mix Substation Location Summary'!$B$4:$B$107,B331,'Mix Substation Location Summary'!$L$4:$L$107)+SUMIF('Mix Substation Location Summary'!$B$4:$B$107,B331,'Mix Substation Location Summary'!$M$4:$M$107)</f>
        <v>6663593.7140400168</v>
      </c>
      <c r="N331" s="398" t="s">
        <v>1482</v>
      </c>
      <c r="O331" s="398" t="s">
        <v>1723</v>
      </c>
      <c r="P331" s="403">
        <f>SUMIF('Antelope Bailey Split BA'!$B$7:$B$29,B331,'Antelope Bailey Split BA'!$C$7:$C$29)</f>
        <v>0</v>
      </c>
      <c r="Q331" s="403" t="str">
        <f>IF(AND(P331=1,'Plant Total by Account'!$H$1=2),"EKWRA","")</f>
        <v/>
      </c>
      <c r="S331" s="403">
        <f>SUMIF('ISO w_System Splits'!$D$524:$D$615,B331,'ISO w_System Splits'!$P$524:$P$615)</f>
        <v>0</v>
      </c>
      <c r="T331" s="403" t="str">
        <f>IF(AND(S331&lt;&gt;0,'Plant Total by Account'!$H$1=2),"EKWRA TL Change","")</f>
        <v/>
      </c>
      <c r="V331" s="77">
        <v>5040</v>
      </c>
      <c r="W331" s="404">
        <f t="shared" si="27"/>
        <v>0</v>
      </c>
    </row>
    <row r="332" spans="1:23" ht="12.75" customHeight="1" x14ac:dyDescent="0.2">
      <c r="A332" s="386" t="s">
        <v>2351</v>
      </c>
      <c r="B332" s="398" t="s">
        <v>1132</v>
      </c>
      <c r="C332" s="398" t="s">
        <v>3331</v>
      </c>
      <c r="D332" s="399">
        <v>1823.96</v>
      </c>
      <c r="E332" s="399">
        <v>17122.87</v>
      </c>
      <c r="F332" s="399">
        <v>2895548.51</v>
      </c>
      <c r="G332" s="524">
        <f t="shared" si="26"/>
        <v>2914495.34</v>
      </c>
      <c r="H332" s="400">
        <f>SUMIF('Mix Substation Location Summary'!$B$4:$B$107,B332,'Mix Substation Location Summary'!$C$4:$C$107)</f>
        <v>230.3486677304808</v>
      </c>
      <c r="I332" s="400">
        <f>SUMIF('Mix Substation Location Summary'!$B$4:$B$107,B332,'Mix Substation Location Summary'!$G$4:$G$107)</f>
        <v>2162.4543807003538</v>
      </c>
      <c r="J332" s="400">
        <f>SUMIF('Mix Substation Location Summary'!$B$4:$B$107,B332,'Mix Substation Location Summary'!$K$4:$K$107)</f>
        <v>365680.02677003818</v>
      </c>
      <c r="K332" s="400">
        <f>SUMIF('Mix Substation Location Summary'!$B$4:$B$107,B332,'Mix Substation Location Summary'!$D$4:$D$107)+SUMIF('Mix Substation Location Summary'!$B$4:$B$107,B332,'Mix Substation Location Summary'!$E$4:$E$107)</f>
        <v>1593.6113322695192</v>
      </c>
      <c r="L332" s="400">
        <f>SUMIF('Mix Substation Location Summary'!$B$4:$B$107,B332,'Mix Substation Location Summary'!$H$4:$H$107)+SUMIF('Mix Substation Location Summary'!$B$4:$B$107,B332,'Mix Substation Location Summary'!$I$4:$I$107)</f>
        <v>14960.415619299645</v>
      </c>
      <c r="M332" s="400">
        <f>SUMIF('Mix Substation Location Summary'!$B$4:$B$107,B332,'Mix Substation Location Summary'!$L$4:$L$107)+SUMIF('Mix Substation Location Summary'!$B$4:$B$107,B332,'Mix Substation Location Summary'!$M$4:$M$107)</f>
        <v>2529868.4832299617</v>
      </c>
      <c r="N332" s="398" t="s">
        <v>1482</v>
      </c>
      <c r="O332" s="398" t="s">
        <v>1476</v>
      </c>
      <c r="P332" s="403">
        <f>SUMIF('Antelope Bailey Split BA'!$B$7:$B$29,B332,'Antelope Bailey Split BA'!$C$7:$C$29)</f>
        <v>0</v>
      </c>
      <c r="Q332" s="403" t="str">
        <f>IF(AND(P332=1,'Plant Total by Account'!$H$1=2),"EKWRA","")</f>
        <v/>
      </c>
      <c r="S332" s="403">
        <f>SUMIF('ISO w_System Splits'!$D$524:$D$615,B332,'ISO w_System Splits'!$P$524:$P$615)</f>
        <v>0</v>
      </c>
      <c r="T332" s="403" t="str">
        <f>IF(AND(S332&lt;&gt;0,'Plant Total by Account'!$H$1=2),"EKWRA TL Change","")</f>
        <v/>
      </c>
      <c r="V332" s="77">
        <v>5043</v>
      </c>
      <c r="W332" s="404">
        <f t="shared" si="27"/>
        <v>0</v>
      </c>
    </row>
    <row r="333" spans="1:23" ht="12.75" customHeight="1" x14ac:dyDescent="0.2">
      <c r="A333" s="386" t="s">
        <v>2356</v>
      </c>
      <c r="B333" s="398" t="s">
        <v>1137</v>
      </c>
      <c r="C333" s="398" t="s">
        <v>3331</v>
      </c>
      <c r="D333" s="399">
        <v>49104.23</v>
      </c>
      <c r="E333" s="399">
        <v>12098.570000000002</v>
      </c>
      <c r="F333" s="399">
        <v>2491870.3599999975</v>
      </c>
      <c r="G333" s="524">
        <f t="shared" si="26"/>
        <v>2553073.1599999974</v>
      </c>
      <c r="H333" s="400">
        <f>SUMIF('Mix Substation Location Summary'!$B$4:$B$107,B333,'Mix Substation Location Summary'!$C$4:$C$107)</f>
        <v>0</v>
      </c>
      <c r="I333" s="400">
        <f>SUMIF('Mix Substation Location Summary'!$B$4:$B$107,B333,'Mix Substation Location Summary'!$G$4:$G$107)</f>
        <v>0</v>
      </c>
      <c r="J333" s="400">
        <f>SUMIF('Mix Substation Location Summary'!$B$4:$B$107,B333,'Mix Substation Location Summary'!$K$4:$K$107)</f>
        <v>0</v>
      </c>
      <c r="K333" s="400">
        <f>SUMIF('Mix Substation Location Summary'!$B$4:$B$107,B333,'Mix Substation Location Summary'!$D$4:$D$107)+SUMIF('Mix Substation Location Summary'!$B$4:$B$107,B333,'Mix Substation Location Summary'!$E$4:$E$107)</f>
        <v>49104.23</v>
      </c>
      <c r="L333" s="400">
        <f>SUMIF('Mix Substation Location Summary'!$B$4:$B$107,B333,'Mix Substation Location Summary'!$H$4:$H$107)+SUMIF('Mix Substation Location Summary'!$B$4:$B$107,B333,'Mix Substation Location Summary'!$I$4:$I$107)</f>
        <v>12098.569999999998</v>
      </c>
      <c r="M333" s="400">
        <f>SUMIF('Mix Substation Location Summary'!$B$4:$B$107,B333,'Mix Substation Location Summary'!$L$4:$L$107)+SUMIF('Mix Substation Location Summary'!$B$4:$B$107,B333,'Mix Substation Location Summary'!$M$4:$M$107)</f>
        <v>2491870.36</v>
      </c>
      <c r="N333" s="398" t="s">
        <v>1482</v>
      </c>
      <c r="O333" s="398" t="s">
        <v>1476</v>
      </c>
      <c r="P333" s="403">
        <f>SUMIF('Antelope Bailey Split BA'!$B$7:$B$29,B333,'Antelope Bailey Split BA'!$C$7:$C$29)</f>
        <v>0</v>
      </c>
      <c r="Q333" s="403" t="str">
        <f>IF(AND(P333=1,'Plant Total by Account'!$H$1=2),"EKWRA","")</f>
        <v/>
      </c>
      <c r="S333" s="403">
        <f>SUMIF('ISO w_System Splits'!$D$524:$D$615,B333,'ISO w_System Splits'!$P$524:$P$615)</f>
        <v>0</v>
      </c>
      <c r="T333" s="403" t="str">
        <f>IF(AND(S333&lt;&gt;0,'Plant Total by Account'!$H$1=2),"EKWRA TL Change","")</f>
        <v/>
      </c>
      <c r="V333" s="77">
        <v>5048</v>
      </c>
      <c r="W333" s="404">
        <f t="shared" si="27"/>
        <v>0</v>
      </c>
    </row>
    <row r="334" spans="1:23" ht="12.75" customHeight="1" x14ac:dyDescent="0.2">
      <c r="A334" s="386" t="s">
        <v>2357</v>
      </c>
      <c r="B334" s="398" t="s">
        <v>1139</v>
      </c>
      <c r="C334" s="398" t="s">
        <v>3331</v>
      </c>
      <c r="D334" s="399">
        <v>970263.37</v>
      </c>
      <c r="E334" s="399">
        <v>2979885.9399999995</v>
      </c>
      <c r="F334" s="399">
        <v>21501879.589999992</v>
      </c>
      <c r="G334" s="524">
        <f t="shared" si="26"/>
        <v>25452028.899999991</v>
      </c>
      <c r="H334" s="400">
        <f>SUMIF('Mix Substation Location Summary'!$B$4:$B$107,B334,'Mix Substation Location Summary'!$C$4:$C$107)</f>
        <v>806034.6565873113</v>
      </c>
      <c r="I334" s="400">
        <f>SUMIF('Mix Substation Location Summary'!$B$4:$B$107,B334,'Mix Substation Location Summary'!$G$4:$G$107)</f>
        <v>2475504.5017491048</v>
      </c>
      <c r="J334" s="400">
        <f>SUMIF('Mix Substation Location Summary'!$B$4:$B$107,B334,'Mix Substation Location Summary'!$K$4:$K$107)</f>
        <v>17862428.560306642</v>
      </c>
      <c r="K334" s="400">
        <f>SUMIF('Mix Substation Location Summary'!$B$4:$B$107,B334,'Mix Substation Location Summary'!$D$4:$D$107)+SUMIF('Mix Substation Location Summary'!$B$4:$B$107,B334,'Mix Substation Location Summary'!$E$4:$E$107)</f>
        <v>164228.7134126887</v>
      </c>
      <c r="L334" s="400">
        <f>SUMIF('Mix Substation Location Summary'!$B$4:$B$107,B334,'Mix Substation Location Summary'!$H$4:$H$107)+SUMIF('Mix Substation Location Summary'!$B$4:$B$107,B334,'Mix Substation Location Summary'!$I$4:$I$107)</f>
        <v>504381.43825089512</v>
      </c>
      <c r="M334" s="400">
        <f>SUMIF('Mix Substation Location Summary'!$B$4:$B$107,B334,'Mix Substation Location Summary'!$L$4:$L$107)+SUMIF('Mix Substation Location Summary'!$B$4:$B$107,B334,'Mix Substation Location Summary'!$M$4:$M$107)</f>
        <v>3639451.0296933595</v>
      </c>
      <c r="N334" s="398" t="s">
        <v>1482</v>
      </c>
      <c r="O334" s="398" t="s">
        <v>1476</v>
      </c>
      <c r="P334" s="403">
        <f>SUMIF('Antelope Bailey Split BA'!$B$7:$B$29,B334,'Antelope Bailey Split BA'!$C$7:$C$29)</f>
        <v>0</v>
      </c>
      <c r="Q334" s="403" t="str">
        <f>IF(AND(P334=1,'Plant Total by Account'!$H$1=2),"EKWRA","")</f>
        <v/>
      </c>
      <c r="S334" s="403">
        <f>SUMIF('ISO w_System Splits'!$D$524:$D$615,B334,'ISO w_System Splits'!$P$524:$P$615)</f>
        <v>0</v>
      </c>
      <c r="T334" s="403" t="str">
        <f>IF(AND(S334&lt;&gt;0,'Plant Total by Account'!$H$1=2),"EKWRA TL Change","")</f>
        <v/>
      </c>
      <c r="V334" s="77">
        <v>5050</v>
      </c>
      <c r="W334" s="404">
        <f t="shared" si="27"/>
        <v>-4.6566128730773926E-10</v>
      </c>
    </row>
    <row r="335" spans="1:23" ht="12.75" customHeight="1" x14ac:dyDescent="0.2">
      <c r="A335" s="386" t="s">
        <v>2359</v>
      </c>
      <c r="B335" s="398" t="s">
        <v>1141</v>
      </c>
      <c r="C335" s="398" t="s">
        <v>3331</v>
      </c>
      <c r="D335" s="399">
        <v>21982.74</v>
      </c>
      <c r="E335" s="399">
        <v>1600543.3900000001</v>
      </c>
      <c r="F335" s="399">
        <v>69002674.519999951</v>
      </c>
      <c r="G335" s="524">
        <f>SUM(D335:F335)</f>
        <v>70625200.649999946</v>
      </c>
      <c r="H335" s="400">
        <f>SUMIF('Mix Substation Location Summary'!$B$4:$B$107,B335,'Mix Substation Location Summary'!$C$4:$C$107)</f>
        <v>21969.428036242389</v>
      </c>
      <c r="I335" s="400">
        <f>SUMIF('Mix Substation Location Summary'!$B$4:$B$107,B335,'Mix Substation Location Summary'!$G$4:$G$107)</f>
        <v>1599574.9007907466</v>
      </c>
      <c r="J335" s="400">
        <f>SUMIF('Mix Substation Location Summary'!$B$4:$B$107,B335,'Mix Substation Location Summary'!$K$4:$K$107)</f>
        <v>68960888.217131972</v>
      </c>
      <c r="K335" s="400">
        <f>SUMIF('Mix Substation Location Summary'!$B$4:$B$107,B335,'Mix Substation Location Summary'!$D$4:$D$107)+SUMIF('Mix Substation Location Summary'!$B$4:$B$107,B335,'Mix Substation Location Summary'!$E$4:$E$107)</f>
        <v>13.311963757610599</v>
      </c>
      <c r="L335" s="400">
        <f>SUMIF('Mix Substation Location Summary'!$B$4:$B$107,B335,'Mix Substation Location Summary'!$H$4:$H$107)+SUMIF('Mix Substation Location Summary'!$B$4:$B$107,B335,'Mix Substation Location Summary'!$I$4:$I$107)</f>
        <v>968.48920925325615</v>
      </c>
      <c r="M335" s="400">
        <f>SUMIF('Mix Substation Location Summary'!$B$4:$B$107,B335,'Mix Substation Location Summary'!$L$4:$L$107)+SUMIF('Mix Substation Location Summary'!$B$4:$B$107,B335,'Mix Substation Location Summary'!$M$4:$M$107)</f>
        <v>41786.302868012965</v>
      </c>
      <c r="N335" s="398" t="s">
        <v>1482</v>
      </c>
      <c r="O335" s="398" t="s">
        <v>1723</v>
      </c>
      <c r="P335" s="403">
        <f>SUMIF('Antelope Bailey Split BA'!$B$7:$B$29,B335,'Antelope Bailey Split BA'!$C$7:$C$29)</f>
        <v>0</v>
      </c>
      <c r="Q335" s="403" t="str">
        <f>IF(AND(P335=1,'Plant Total by Account'!$H$1=2),"EKWRA","")</f>
        <v/>
      </c>
      <c r="S335" s="403">
        <f>SUMIF('ISO w_System Splits'!$D$524:$D$615,B335,'ISO w_System Splits'!$P$524:$P$615)</f>
        <v>0</v>
      </c>
      <c r="T335" s="403" t="str">
        <f>IF(AND(S335&lt;&gt;0,'Plant Total by Account'!$H$1=2),"EKWRA TL Change","")</f>
        <v/>
      </c>
      <c r="V335" s="77">
        <v>5052</v>
      </c>
      <c r="W335" s="404">
        <f t="shared" si="27"/>
        <v>3.1764102459419519E-10</v>
      </c>
    </row>
    <row r="336" spans="1:23" ht="12.75" customHeight="1" x14ac:dyDescent="0.2">
      <c r="A336" s="386" t="s">
        <v>2360</v>
      </c>
      <c r="B336" s="398" t="s">
        <v>1142</v>
      </c>
      <c r="C336" s="398" t="s">
        <v>3331</v>
      </c>
      <c r="D336" s="399">
        <v>140739.19999999998</v>
      </c>
      <c r="E336" s="399">
        <v>1321401.23</v>
      </c>
      <c r="F336" s="399">
        <v>42996613.510000005</v>
      </c>
      <c r="G336" s="524">
        <f t="shared" si="26"/>
        <v>44458753.940000005</v>
      </c>
      <c r="H336" s="400">
        <f>SUMIF('Mix Substation Location Summary'!$B$4:$B$107,B336,'Mix Substation Location Summary'!$C$4:$C$107)</f>
        <v>44241.303270715944</v>
      </c>
      <c r="I336" s="400">
        <f>SUMIF('Mix Substation Location Summary'!$B$4:$B$107,B336,'Mix Substation Location Summary'!$G$4:$G$107)</f>
        <v>402115.4645041675</v>
      </c>
      <c r="J336" s="400">
        <f>SUMIF('Mix Substation Location Summary'!$B$4:$B$107,B336,'Mix Substation Location Summary'!$K$4:$K$107)</f>
        <v>13545005.490232343</v>
      </c>
      <c r="K336" s="400">
        <f>SUMIF('Mix Substation Location Summary'!$B$4:$B$107,B336,'Mix Substation Location Summary'!$D$4:$D$107)+SUMIF('Mix Substation Location Summary'!$B$4:$B$107,B336,'Mix Substation Location Summary'!$E$4:$E$107)</f>
        <v>96497.896729284053</v>
      </c>
      <c r="L336" s="400">
        <f>SUMIF('Mix Substation Location Summary'!$B$4:$B$107,B336,'Mix Substation Location Summary'!$H$4:$H$107)+SUMIF('Mix Substation Location Summary'!$B$4:$B$107,B336,'Mix Substation Location Summary'!$I$4:$I$107)</f>
        <v>919285.76549583243</v>
      </c>
      <c r="M336" s="400">
        <f>SUMIF('Mix Substation Location Summary'!$B$4:$B$107,B336,'Mix Substation Location Summary'!$L$4:$L$107)+SUMIF('Mix Substation Location Summary'!$B$4:$B$107,B336,'Mix Substation Location Summary'!$M$4:$M$107)</f>
        <v>29451608.019767661</v>
      </c>
      <c r="N336" s="398" t="s">
        <v>1482</v>
      </c>
      <c r="O336" s="398" t="s">
        <v>1476</v>
      </c>
      <c r="P336" s="403">
        <f>SUMIF('Antelope Bailey Split BA'!$B$7:$B$29,B336,'Antelope Bailey Split BA'!$C$7:$C$29)</f>
        <v>0</v>
      </c>
      <c r="Q336" s="403" t="str">
        <f>IF(AND(P336=1,'Plant Total by Account'!$H$1=2),"EKWRA","")</f>
        <v/>
      </c>
      <c r="S336" s="403">
        <f>SUMIF('ISO w_System Splits'!$D$524:$D$615,B336,'ISO w_System Splits'!$P$524:$P$615)</f>
        <v>0</v>
      </c>
      <c r="T336" s="403" t="str">
        <f>IF(AND(S336&lt;&gt;0,'Plant Total by Account'!$H$1=2),"EKWRA TL Change","")</f>
        <v/>
      </c>
      <c r="V336" s="77">
        <v>5053</v>
      </c>
      <c r="W336" s="404">
        <f t="shared" si="27"/>
        <v>0</v>
      </c>
    </row>
    <row r="337" spans="1:23" ht="12.75" customHeight="1" x14ac:dyDescent="0.2">
      <c r="A337" s="386" t="s">
        <v>2361</v>
      </c>
      <c r="B337" s="398" t="s">
        <v>1143</v>
      </c>
      <c r="C337" s="398" t="s">
        <v>3331</v>
      </c>
      <c r="D337" s="399">
        <v>236193.55000000002</v>
      </c>
      <c r="E337" s="399">
        <v>900615.46</v>
      </c>
      <c r="F337" s="399">
        <v>18471747.499999993</v>
      </c>
      <c r="G337" s="524">
        <f t="shared" si="26"/>
        <v>19608556.509999994</v>
      </c>
      <c r="H337" s="416">
        <f>SUMIF('Mix Substation Location Summary'!$B$4:$B$107,B337,'Mix Substation Location Summary'!$C$4:$C$107)</f>
        <v>39103.887131764772</v>
      </c>
      <c r="I337" s="416">
        <f>SUMIF('Mix Substation Location Summary'!$B$4:$B$107,B337,'Mix Substation Location Summary'!$G$4:$G$107)</f>
        <v>149088.58456507372</v>
      </c>
      <c r="J337" s="416">
        <f>SUMIF('Mix Substation Location Summary'!$B$4:$B$107,B337,'Mix Substation Location Summary'!$K$4:$K$107)</f>
        <v>2771172.6334364708</v>
      </c>
      <c r="K337" s="416">
        <f>SUMIF('Mix Substation Location Summary'!$B$4:$B$107,B337,'Mix Substation Location Summary'!$D$4:$D$107)+SUMIF('Mix Substation Location Summary'!$B$4:$B$107,B337,'Mix Substation Location Summary'!$E$4:$E$107)</f>
        <v>197089.66286823523</v>
      </c>
      <c r="L337" s="416">
        <f>SUMIF('Mix Substation Location Summary'!$B$4:$B$107,B337,'Mix Substation Location Summary'!$H$4:$H$107)+SUMIF('Mix Substation Location Summary'!$B$4:$B$107,B337,'Mix Substation Location Summary'!$I$4:$I$107)</f>
        <v>751526.87543492625</v>
      </c>
      <c r="M337" s="416">
        <f>SUMIF('Mix Substation Location Summary'!$B$4:$B$107,B337,'Mix Substation Location Summary'!$L$4:$L$107)+SUMIF('Mix Substation Location Summary'!$B$4:$B$107,B337,'Mix Substation Location Summary'!$M$4:$M$107)</f>
        <v>15700574.866563529</v>
      </c>
      <c r="N337" s="398" t="s">
        <v>1482</v>
      </c>
      <c r="O337" s="398" t="s">
        <v>1476</v>
      </c>
      <c r="P337" s="403">
        <f>SUMIF('Antelope Bailey Split BA'!$B$7:$B$29,B337,'Antelope Bailey Split BA'!$C$7:$C$29)</f>
        <v>0</v>
      </c>
      <c r="Q337" s="403" t="str">
        <f>IF(AND(P337=1,'Plant Total by Account'!$H$1=2),"EKWRA","")</f>
        <v/>
      </c>
      <c r="S337" s="403">
        <f>SUMIF('ISO w_System Splits'!$D$524:$D$615,B337,'ISO w_System Splits'!$P$524:$P$615)</f>
        <v>0</v>
      </c>
      <c r="T337" s="403" t="str">
        <f>IF(AND(S337&lt;&gt;0,'Plant Total by Account'!$H$1=2),"EKWRA TL Change","")</f>
        <v/>
      </c>
      <c r="V337" s="77">
        <v>5055</v>
      </c>
      <c r="W337" s="404">
        <f t="shared" si="27"/>
        <v>0</v>
      </c>
    </row>
    <row r="338" spans="1:23" ht="12.75" customHeight="1" x14ac:dyDescent="0.2">
      <c r="A338" s="386" t="s">
        <v>2362</v>
      </c>
      <c r="B338" s="398" t="s">
        <v>1144</v>
      </c>
      <c r="C338" s="398" t="s">
        <v>3331</v>
      </c>
      <c r="D338" s="399">
        <v>184090.99</v>
      </c>
      <c r="E338" s="399">
        <v>3495537.96</v>
      </c>
      <c r="F338" s="399">
        <v>52928752.880000055</v>
      </c>
      <c r="G338" s="524">
        <f t="shared" si="26"/>
        <v>56608381.830000058</v>
      </c>
      <c r="H338" s="400">
        <f>SUMIF('Mix Substation Location Summary'!$B$4:$B$107,B338,'Mix Substation Location Summary'!$C$4:$C$107)</f>
        <v>19239.874250503792</v>
      </c>
      <c r="I338" s="400">
        <f>SUMIF('Mix Substation Location Summary'!$B$4:$B$107,B338,'Mix Substation Location Summary'!$G$4:$G$107)</f>
        <v>365328.63877945655</v>
      </c>
      <c r="J338" s="400">
        <f>SUMIF('Mix Substation Location Summary'!$B$4:$B$107,B338,'Mix Substation Location Summary'!$K$4:$K$107)</f>
        <v>5531734.8754938561</v>
      </c>
      <c r="K338" s="400">
        <f>SUMIF('Mix Substation Location Summary'!$B$4:$B$107,B338,'Mix Substation Location Summary'!$D$4:$D$107)+SUMIF('Mix Substation Location Summary'!$B$4:$B$107,B338,'Mix Substation Location Summary'!$E$4:$E$107)</f>
        <v>164851.11574949621</v>
      </c>
      <c r="L338" s="400">
        <f>SUMIF('Mix Substation Location Summary'!$B$4:$B$107,B338,'Mix Substation Location Summary'!$H$4:$H$107)+SUMIF('Mix Substation Location Summary'!$B$4:$B$107,B338,'Mix Substation Location Summary'!$I$4:$I$107)</f>
        <v>3130209.3212205428</v>
      </c>
      <c r="M338" s="400">
        <f>SUMIF('Mix Substation Location Summary'!$B$4:$B$107,B338,'Mix Substation Location Summary'!$L$4:$L$107)+SUMIF('Mix Substation Location Summary'!$B$4:$B$107,B338,'Mix Substation Location Summary'!$M$4:$M$107)</f>
        <v>47397018.004506148</v>
      </c>
      <c r="N338" s="398" t="s">
        <v>1482</v>
      </c>
      <c r="O338" s="398" t="s">
        <v>1476</v>
      </c>
      <c r="P338" s="403">
        <f>SUMIF('Antelope Bailey Split BA'!$B$7:$B$29,B338,'Antelope Bailey Split BA'!$C$7:$C$29)</f>
        <v>0</v>
      </c>
      <c r="Q338" s="403" t="str">
        <f>IF(AND(P338=1,'Plant Total by Account'!$H$1=2),"EKWRA","")</f>
        <v/>
      </c>
      <c r="S338" s="403">
        <f>SUMIF('ISO w_System Splits'!$D$524:$D$615,B338,'ISO w_System Splits'!$P$524:$P$615)</f>
        <v>0</v>
      </c>
      <c r="T338" s="403" t="str">
        <f>IF(AND(S338&lt;&gt;0,'Plant Total by Account'!$H$1=2),"EKWRA TL Change","")</f>
        <v/>
      </c>
      <c r="V338" s="77">
        <v>5056</v>
      </c>
      <c r="W338" s="404">
        <f t="shared" si="27"/>
        <v>0</v>
      </c>
    </row>
    <row r="339" spans="1:23" ht="12.75" customHeight="1" x14ac:dyDescent="0.2">
      <c r="A339" s="386" t="s">
        <v>2364</v>
      </c>
      <c r="B339" s="398" t="s">
        <v>170</v>
      </c>
      <c r="C339" s="398" t="s">
        <v>3331</v>
      </c>
      <c r="D339" s="399">
        <v>111063.36</v>
      </c>
      <c r="E339" s="399">
        <v>895917.61999999988</v>
      </c>
      <c r="F339" s="399">
        <v>16844418.190000001</v>
      </c>
      <c r="G339" s="524">
        <f>SUM(D339:F339)</f>
        <v>17851399.170000002</v>
      </c>
      <c r="H339" s="400">
        <f>SUMIF('Mix Substation Location Summary'!$B$4:$B$107,B339,'Mix Substation Location Summary'!$C$4:$C$107)</f>
        <v>110066.54350774967</v>
      </c>
      <c r="I339" s="400">
        <f>SUMIF('Mix Substation Location Summary'!$B$4:$B$107,B339,'Mix Substation Location Summary'!$G$4:$G$107)</f>
        <v>887876.57514674088</v>
      </c>
      <c r="J339" s="400">
        <f>SUMIF('Mix Substation Location Summary'!$B$4:$B$107,B339,'Mix Substation Location Summary'!$K$4:$K$107)</f>
        <v>16696074.250877887</v>
      </c>
      <c r="K339" s="400">
        <f>SUMIF('Mix Substation Location Summary'!$B$4:$B$107,B339,'Mix Substation Location Summary'!$D$4:$D$107)+SUMIF('Mix Substation Location Summary'!$B$4:$B$107,B339,'Mix Substation Location Summary'!$E$4:$E$107)</f>
        <v>996.81649225033777</v>
      </c>
      <c r="L339" s="400">
        <f>SUMIF('Mix Substation Location Summary'!$B$4:$B$107,B339,'Mix Substation Location Summary'!$H$4:$H$107)+SUMIF('Mix Substation Location Summary'!$B$4:$B$107,B339,'Mix Substation Location Summary'!$I$4:$I$107)</f>
        <v>8041.0448532591763</v>
      </c>
      <c r="M339" s="400">
        <f>SUMIF('Mix Substation Location Summary'!$B$4:$B$107,B339,'Mix Substation Location Summary'!$L$4:$L$107)+SUMIF('Mix Substation Location Summary'!$B$4:$B$107,B339,'Mix Substation Location Summary'!$M$4:$M$107)</f>
        <v>148343.93912211625</v>
      </c>
      <c r="N339" s="398" t="s">
        <v>1482</v>
      </c>
      <c r="O339" s="398" t="s">
        <v>1723</v>
      </c>
      <c r="P339" s="403">
        <f>SUMIF('Antelope Bailey Split BA'!$B$7:$B$29,B339,'Antelope Bailey Split BA'!$C$7:$C$29)</f>
        <v>0</v>
      </c>
      <c r="Q339" s="403" t="str">
        <f>IF(AND(P339=1,'Plant Total by Account'!$H$1=2),"EKWRA","")</f>
        <v/>
      </c>
      <c r="S339" s="403">
        <f>SUMIF('ISO w_System Splits'!$D$524:$D$615,B339,'ISO w_System Splits'!$P$524:$P$615)</f>
        <v>0</v>
      </c>
      <c r="T339" s="403" t="str">
        <f>IF(AND(S339&lt;&gt;0,'Plant Total by Account'!$H$1=2),"EKWRA TL Change","")</f>
        <v/>
      </c>
      <c r="V339" s="77">
        <v>5059</v>
      </c>
      <c r="W339" s="404">
        <f t="shared" si="27"/>
        <v>-1.8189894035458565E-10</v>
      </c>
    </row>
    <row r="340" spans="1:23" ht="12.75" customHeight="1" x14ac:dyDescent="0.2">
      <c r="A340" s="386" t="s">
        <v>2365</v>
      </c>
      <c r="B340" s="398" t="s">
        <v>1146</v>
      </c>
      <c r="C340" s="398" t="s">
        <v>3331</v>
      </c>
      <c r="D340" s="399">
        <v>149547.04</v>
      </c>
      <c r="E340" s="399">
        <v>2130012.46</v>
      </c>
      <c r="F340" s="399">
        <v>37435842.520000003</v>
      </c>
      <c r="G340" s="524">
        <f t="shared" si="26"/>
        <v>39715402.020000003</v>
      </c>
      <c r="H340" s="400">
        <f>SUMIF('Mix Substation Location Summary'!$B$4:$B$107,B340,'Mix Substation Location Summary'!$C$4:$C$107)</f>
        <v>33768.503191623888</v>
      </c>
      <c r="I340" s="400">
        <f>SUMIF('Mix Substation Location Summary'!$B$4:$B$107,B340,'Mix Substation Location Summary'!$G$4:$G$107)</f>
        <v>480967.94303667673</v>
      </c>
      <c r="J340" s="400">
        <f>SUMIF('Mix Substation Location Summary'!$B$4:$B$107,B340,'Mix Substation Location Summary'!$K$4:$K$107)</f>
        <v>8458233.2704915218</v>
      </c>
      <c r="K340" s="400">
        <f>SUMIF('Mix Substation Location Summary'!$B$4:$B$107,B340,'Mix Substation Location Summary'!$D$4:$D$107)+SUMIF('Mix Substation Location Summary'!$B$4:$B$107,B340,'Mix Substation Location Summary'!$E$4:$E$107)</f>
        <v>115778.53680837611</v>
      </c>
      <c r="L340" s="400">
        <f>SUMIF('Mix Substation Location Summary'!$B$4:$B$107,B340,'Mix Substation Location Summary'!$H$4:$H$107)+SUMIF('Mix Substation Location Summary'!$B$4:$B$107,B340,'Mix Substation Location Summary'!$I$4:$I$107)</f>
        <v>1649044.5169633226</v>
      </c>
      <c r="M340" s="400">
        <f>SUMIF('Mix Substation Location Summary'!$B$4:$B$107,B340,'Mix Substation Location Summary'!$L$4:$L$107)+SUMIF('Mix Substation Location Summary'!$B$4:$B$107,B340,'Mix Substation Location Summary'!$M$4:$M$107)</f>
        <v>28977609.249508481</v>
      </c>
      <c r="N340" s="398" t="s">
        <v>1482</v>
      </c>
      <c r="O340" s="398" t="s">
        <v>1476</v>
      </c>
      <c r="P340" s="403">
        <f>SUMIF('Antelope Bailey Split BA'!$B$7:$B$29,B340,'Antelope Bailey Split BA'!$C$7:$C$29)</f>
        <v>0</v>
      </c>
      <c r="Q340" s="403" t="str">
        <f>IF(AND(P340=1,'Plant Total by Account'!$H$1=2),"EKWRA","")</f>
        <v/>
      </c>
      <c r="S340" s="403">
        <f>SUMIF('ISO w_System Splits'!$D$524:$D$615,B340,'ISO w_System Splits'!$P$524:$P$615)</f>
        <v>0</v>
      </c>
      <c r="T340" s="403" t="str">
        <f>IF(AND(S340&lt;&gt;0,'Plant Total by Account'!$H$1=2),"EKWRA TL Change","")</f>
        <v/>
      </c>
      <c r="V340" s="77">
        <v>5060</v>
      </c>
      <c r="W340" s="404">
        <f t="shared" si="27"/>
        <v>0</v>
      </c>
    </row>
    <row r="341" spans="1:23" ht="12.75" customHeight="1" x14ac:dyDescent="0.2">
      <c r="A341" s="386" t="s">
        <v>2367</v>
      </c>
      <c r="B341" s="398" t="s">
        <v>1148</v>
      </c>
      <c r="C341" s="398" t="s">
        <v>3331</v>
      </c>
      <c r="D341" s="399">
        <v>34464.600000000006</v>
      </c>
      <c r="E341" s="399">
        <v>2457703.66</v>
      </c>
      <c r="F341" s="399">
        <v>36065298.079999804</v>
      </c>
      <c r="G341" s="524">
        <f t="shared" si="26"/>
        <v>38557466.339999802</v>
      </c>
      <c r="H341" s="400">
        <f>SUMIF('Mix Substation Location Summary'!$B$4:$B$107,B341,'Mix Substation Location Summary'!$C$4:$C$107)</f>
        <v>8320.2457641169785</v>
      </c>
      <c r="I341" s="400">
        <f>SUMIF('Mix Substation Location Summary'!$B$4:$B$107,B341,'Mix Substation Location Summary'!$G$4:$G$107)</f>
        <v>574440.7712550296</v>
      </c>
      <c r="J341" s="400">
        <f>SUMIF('Mix Substation Location Summary'!$B$4:$B$107,B341,'Mix Substation Location Summary'!$K$4:$K$107)</f>
        <v>8725618.4179796092</v>
      </c>
      <c r="K341" s="400">
        <f>SUMIF('Mix Substation Location Summary'!$B$4:$B$107,B341,'Mix Substation Location Summary'!$D$4:$D$107)+SUMIF('Mix Substation Location Summary'!$B$4:$B$107,B341,'Mix Substation Location Summary'!$E$4:$E$107)</f>
        <v>26144.354235883027</v>
      </c>
      <c r="L341" s="400">
        <f>SUMIF('Mix Substation Location Summary'!$B$4:$B$107,B341,'Mix Substation Location Summary'!$H$4:$H$107)+SUMIF('Mix Substation Location Summary'!$B$4:$B$107,B341,'Mix Substation Location Summary'!$I$4:$I$107)</f>
        <v>1883262.8887449708</v>
      </c>
      <c r="M341" s="400">
        <f>SUMIF('Mix Substation Location Summary'!$B$4:$B$107,B341,'Mix Substation Location Summary'!$L$4:$L$107)+SUMIF('Mix Substation Location Summary'!$B$4:$B$107,B341,'Mix Substation Location Summary'!$M$4:$M$107)</f>
        <v>27339679.662020389</v>
      </c>
      <c r="N341" s="398" t="s">
        <v>1482</v>
      </c>
      <c r="O341" s="398" t="s">
        <v>1476</v>
      </c>
      <c r="P341" s="403">
        <f>SUMIF('Antelope Bailey Split BA'!$B$7:$B$29,B341,'Antelope Bailey Split BA'!$C$7:$C$29)</f>
        <v>0</v>
      </c>
      <c r="Q341" s="403" t="str">
        <f>IF(AND(P341=1,'Plant Total by Account'!$H$1=2),"EKWRA","")</f>
        <v/>
      </c>
      <c r="S341" s="403">
        <f>SUMIF('ISO w_System Splits'!$D$524:$D$615,B341,'ISO w_System Splits'!$P$524:$P$615)</f>
        <v>0</v>
      </c>
      <c r="T341" s="403" t="str">
        <f>IF(AND(S341&lt;&gt;0,'Plant Total by Account'!$H$1=2),"EKWRA TL Change","")</f>
        <v/>
      </c>
      <c r="V341" s="77">
        <v>5062</v>
      </c>
      <c r="W341" s="404">
        <f t="shared" si="27"/>
        <v>0</v>
      </c>
    </row>
    <row r="342" spans="1:23" ht="12.75" customHeight="1" x14ac:dyDescent="0.2">
      <c r="A342" s="386" t="s">
        <v>2368</v>
      </c>
      <c r="B342" s="398" t="s">
        <v>1149</v>
      </c>
      <c r="C342" s="398" t="s">
        <v>3331</v>
      </c>
      <c r="D342" s="399">
        <v>0</v>
      </c>
      <c r="E342" s="399">
        <v>2214.6400000000003</v>
      </c>
      <c r="F342" s="399">
        <v>804742.47999999986</v>
      </c>
      <c r="G342" s="524">
        <f t="shared" si="26"/>
        <v>806957.11999999988</v>
      </c>
      <c r="H342" s="400">
        <f>SUMIF('Mix Substation Location Summary'!$B$4:$B$107,B342,'Mix Substation Location Summary'!$C$4:$C$107)</f>
        <v>0</v>
      </c>
      <c r="I342" s="400">
        <f>SUMIF('Mix Substation Location Summary'!$B$4:$B$107,B342,'Mix Substation Location Summary'!$G$4:$G$107)</f>
        <v>1545.9963632517868</v>
      </c>
      <c r="J342" s="400">
        <f>SUMIF('Mix Substation Location Summary'!$B$4:$B$107,B342,'Mix Substation Location Summary'!$K$4:$K$107)</f>
        <v>561774.80196972121</v>
      </c>
      <c r="K342" s="400">
        <f>SUMIF('Mix Substation Location Summary'!$B$4:$B$107,B342,'Mix Substation Location Summary'!$D$4:$D$107)+SUMIF('Mix Substation Location Summary'!$B$4:$B$107,B342,'Mix Substation Location Summary'!$E$4:$E$107)</f>
        <v>0</v>
      </c>
      <c r="L342" s="400">
        <f>SUMIF('Mix Substation Location Summary'!$B$4:$B$107,B342,'Mix Substation Location Summary'!$H$4:$H$107)+SUMIF('Mix Substation Location Summary'!$B$4:$B$107,B342,'Mix Substation Location Summary'!$I$4:$I$107)</f>
        <v>668.64363674821368</v>
      </c>
      <c r="M342" s="400">
        <f>SUMIF('Mix Substation Location Summary'!$B$4:$B$107,B342,'Mix Substation Location Summary'!$L$4:$L$107)+SUMIF('Mix Substation Location Summary'!$B$4:$B$107,B342,'Mix Substation Location Summary'!$M$4:$M$107)</f>
        <v>242967.67803027874</v>
      </c>
      <c r="N342" s="398" t="s">
        <v>1482</v>
      </c>
      <c r="O342" s="398" t="s">
        <v>1476</v>
      </c>
      <c r="P342" s="403">
        <f>SUMIF('Antelope Bailey Split BA'!$B$7:$B$29,B342,'Antelope Bailey Split BA'!$C$7:$C$29)</f>
        <v>0</v>
      </c>
      <c r="Q342" s="403" t="str">
        <f>IF(AND(P342=1,'Plant Total by Account'!$H$1=2),"EKWRA","")</f>
        <v/>
      </c>
      <c r="S342" s="403">
        <f>SUMIF('ISO w_System Splits'!$D$524:$D$615,B342,'ISO w_System Splits'!$P$524:$P$615)</f>
        <v>0</v>
      </c>
      <c r="T342" s="403" t="str">
        <f>IF(AND(S342&lt;&gt;0,'Plant Total by Account'!$H$1=2),"EKWRA TL Change","")</f>
        <v/>
      </c>
      <c r="V342" s="77">
        <v>5063</v>
      </c>
      <c r="W342" s="404">
        <f t="shared" si="27"/>
        <v>0</v>
      </c>
    </row>
    <row r="343" spans="1:23" ht="12.75" customHeight="1" x14ac:dyDescent="0.2">
      <c r="A343" s="386" t="s">
        <v>2369</v>
      </c>
      <c r="B343" s="398" t="s">
        <v>171</v>
      </c>
      <c r="C343" s="398" t="s">
        <v>3331</v>
      </c>
      <c r="D343" s="399">
        <v>52108.99</v>
      </c>
      <c r="E343" s="399">
        <v>8031798.5300000031</v>
      </c>
      <c r="F343" s="399">
        <v>60916108.099999912</v>
      </c>
      <c r="G343" s="524">
        <f t="shared" si="26"/>
        <v>69000015.619999915</v>
      </c>
      <c r="H343" s="400">
        <f>SUMIF('Mix Substation Location Summary'!$B$4:$B$107,B343,'Mix Substation Location Summary'!$C$4:$C$107)</f>
        <v>10568.086430172169</v>
      </c>
      <c r="I343" s="400">
        <f>SUMIF('Mix Substation Location Summary'!$B$4:$B$107,B343,'Mix Substation Location Summary'!$G$4:$G$107)</f>
        <v>1654160.7743027122</v>
      </c>
      <c r="J343" s="400">
        <f>SUMIF('Mix Substation Location Summary'!$B$4:$B$107,B343,'Mix Substation Location Summary'!$K$4:$K$107)</f>
        <v>12335932.628222799</v>
      </c>
      <c r="K343" s="400">
        <f>SUMIF('Mix Substation Location Summary'!$B$4:$B$107,B343,'Mix Substation Location Summary'!$D$4:$D$107)+SUMIF('Mix Substation Location Summary'!$B$4:$B$107,B343,'Mix Substation Location Summary'!$E$4:$E$107)</f>
        <v>41540.903569827831</v>
      </c>
      <c r="L343" s="400">
        <f>SUMIF('Mix Substation Location Summary'!$B$4:$B$107,B343,'Mix Substation Location Summary'!$H$4:$H$107)+SUMIF('Mix Substation Location Summary'!$B$4:$B$107,B343,'Mix Substation Location Summary'!$I$4:$I$107)</f>
        <v>6377637.7556972886</v>
      </c>
      <c r="M343" s="400">
        <f>SUMIF('Mix Substation Location Summary'!$B$4:$B$107,B343,'Mix Substation Location Summary'!$L$4:$L$107)+SUMIF('Mix Substation Location Summary'!$B$4:$B$107,B343,'Mix Substation Location Summary'!$M$4:$M$107)</f>
        <v>48580175.471777201</v>
      </c>
      <c r="N343" s="398" t="s">
        <v>1482</v>
      </c>
      <c r="O343" s="398" t="s">
        <v>1476</v>
      </c>
      <c r="P343" s="403">
        <f>SUMIF('Antelope Bailey Split BA'!$B$7:$B$29,B343,'Antelope Bailey Split BA'!$C$7:$C$29)</f>
        <v>0</v>
      </c>
      <c r="Q343" s="403" t="str">
        <f>IF(AND(P343=1,'Plant Total by Account'!$H$1=2),"EKWRA","")</f>
        <v/>
      </c>
      <c r="S343" s="403">
        <f>SUMIF('ISO w_System Splits'!$D$524:$D$615,B343,'ISO w_System Splits'!$P$524:$P$615)</f>
        <v>0</v>
      </c>
      <c r="T343" s="403" t="str">
        <f>IF(AND(S343&lt;&gt;0,'Plant Total by Account'!$H$1=2),"EKWRA TL Change","")</f>
        <v/>
      </c>
      <c r="V343" s="77">
        <v>5064</v>
      </c>
      <c r="W343" s="404">
        <f t="shared" si="27"/>
        <v>0</v>
      </c>
    </row>
    <row r="344" spans="1:23" ht="12.75" customHeight="1" x14ac:dyDescent="0.2">
      <c r="A344" s="386" t="s">
        <v>2372</v>
      </c>
      <c r="B344" s="398" t="s">
        <v>1152</v>
      </c>
      <c r="C344" s="398" t="s">
        <v>3330</v>
      </c>
      <c r="D344" s="399">
        <v>285546.10000000003</v>
      </c>
      <c r="E344" s="399">
        <v>8352641.54</v>
      </c>
      <c r="F344" s="399">
        <v>146698825.66999963</v>
      </c>
      <c r="G344" s="524">
        <f t="shared" si="26"/>
        <v>155337013.30999964</v>
      </c>
      <c r="H344" s="400">
        <f>SUMIF('Mix Substation Location Summary'!$B$4:$B$107,B344,'Mix Substation Location Summary'!$C$4:$C$107)</f>
        <v>248793.39629457137</v>
      </c>
      <c r="I344" s="400">
        <f>SUMIF('Mix Substation Location Summary'!$B$4:$B$107,B344,'Mix Substation Location Summary'!$G$4:$G$107)</f>
        <v>7278131.3661367567</v>
      </c>
      <c r="J344" s="400">
        <f>SUMIF('Mix Substation Location Summary'!$B$4:$B$107,B344,'Mix Substation Location Summary'!$K$4:$K$107)</f>
        <v>131732887.31865869</v>
      </c>
      <c r="K344" s="400">
        <f>SUMIF('Mix Substation Location Summary'!$B$4:$B$107,B344,'Mix Substation Location Summary'!$D$4:$D$107)+SUMIF('Mix Substation Location Summary'!$B$4:$B$107,B344,'Mix Substation Location Summary'!$E$4:$E$107)</f>
        <v>36752.703705428634</v>
      </c>
      <c r="L344" s="400">
        <f>SUMIF('Mix Substation Location Summary'!$B$4:$B$107,B344,'Mix Substation Location Summary'!$H$4:$H$107)+SUMIF('Mix Substation Location Summary'!$B$4:$B$107,B344,'Mix Substation Location Summary'!$I$4:$I$107)</f>
        <v>1074510.1738632433</v>
      </c>
      <c r="M344" s="400">
        <f>SUMIF('Mix Substation Location Summary'!$B$4:$B$107,B344,'Mix Substation Location Summary'!$L$4:$L$107)+SUMIF('Mix Substation Location Summary'!$B$4:$B$107,B344,'Mix Substation Location Summary'!$M$4:$M$107)</f>
        <v>14965938.35134132</v>
      </c>
      <c r="N344" s="398" t="s">
        <v>1482</v>
      </c>
      <c r="O344" s="398" t="s">
        <v>1476</v>
      </c>
      <c r="P344" s="403">
        <f>SUMIF('Antelope Bailey Split BA'!$B$7:$B$29,B344,'Antelope Bailey Split BA'!$C$7:$C$29)</f>
        <v>0</v>
      </c>
      <c r="Q344" s="403" t="str">
        <f>IF(AND(P344=1,'Plant Total by Account'!$H$1=2),"EKWRA","")</f>
        <v/>
      </c>
      <c r="S344" s="403">
        <f>SUMIF('ISO w_System Splits'!$D$524:$D$615,B344,'ISO w_System Splits'!$P$524:$P$615)</f>
        <v>0</v>
      </c>
      <c r="T344" s="403" t="str">
        <f>IF(AND(S344&lt;&gt;0,'Plant Total by Account'!$H$1=2),"EKWRA TL Change","")</f>
        <v/>
      </c>
      <c r="V344" s="77">
        <v>5067</v>
      </c>
      <c r="W344" s="404">
        <f t="shared" si="27"/>
        <v>0</v>
      </c>
    </row>
    <row r="345" spans="1:23" ht="12.75" customHeight="1" x14ac:dyDescent="0.2">
      <c r="A345" s="386" t="s">
        <v>2374</v>
      </c>
      <c r="B345" s="398" t="s">
        <v>172</v>
      </c>
      <c r="C345" s="398" t="s">
        <v>3330</v>
      </c>
      <c r="D345" s="399">
        <v>477276.22000000003</v>
      </c>
      <c r="E345" s="399">
        <v>12830372.719999995</v>
      </c>
      <c r="F345" s="399">
        <v>151449652.70000017</v>
      </c>
      <c r="G345" s="524">
        <f t="shared" si="26"/>
        <v>164757301.64000016</v>
      </c>
      <c r="H345" s="400">
        <f>SUMIF('Mix Substation Location Summary'!$B$4:$B$107,B345,'Mix Substation Location Summary'!$C$4:$C$107)</f>
        <v>381928.44123324734</v>
      </c>
      <c r="I345" s="400">
        <f>SUMIF('Mix Substation Location Summary'!$B$4:$B$107,B345,'Mix Substation Location Summary'!$G$4:$G$107)</f>
        <v>10307489.370297661</v>
      </c>
      <c r="J345" s="400">
        <f>SUMIF('Mix Substation Location Summary'!$B$4:$B$107,B345,'Mix Substation Location Summary'!$K$4:$K$107)</f>
        <v>121153520.88006535</v>
      </c>
      <c r="K345" s="400">
        <f>SUMIF('Mix Substation Location Summary'!$B$4:$B$107,B345,'Mix Substation Location Summary'!$D$4:$D$107)+SUMIF('Mix Substation Location Summary'!$B$4:$B$107,B345,'Mix Substation Location Summary'!$E$4:$E$107)</f>
        <v>95347.778766752672</v>
      </c>
      <c r="L345" s="400">
        <f>SUMIF('Mix Substation Location Summary'!$B$4:$B$107,B345,'Mix Substation Location Summary'!$H$4:$H$107)+SUMIF('Mix Substation Location Summary'!$B$4:$B$107,B345,'Mix Substation Location Summary'!$I$4:$I$107)</f>
        <v>2522883.349702341</v>
      </c>
      <c r="M345" s="400">
        <f>SUMIF('Mix Substation Location Summary'!$B$4:$B$107,B345,'Mix Substation Location Summary'!$L$4:$L$107)+SUMIF('Mix Substation Location Summary'!$B$4:$B$107,B345,'Mix Substation Location Summary'!$M$4:$M$107)</f>
        <v>30296131.819934692</v>
      </c>
      <c r="N345" s="398" t="s">
        <v>1482</v>
      </c>
      <c r="O345" s="398" t="s">
        <v>1476</v>
      </c>
      <c r="P345" s="403">
        <f>SUMIF('Antelope Bailey Split BA'!$B$7:$B$29,B345,'Antelope Bailey Split BA'!$C$7:$C$29)</f>
        <v>0</v>
      </c>
      <c r="Q345" s="403" t="str">
        <f>IF(AND(P345=1,'Plant Total by Account'!$H$1=2),"EKWRA","")</f>
        <v/>
      </c>
      <c r="S345" s="403">
        <f>SUMIF('ISO w_System Splits'!$D$524:$D$615,B345,'ISO w_System Splits'!$P$524:$P$615)</f>
        <v>0</v>
      </c>
      <c r="T345" s="403" t="str">
        <f>IF(AND(S345&lt;&gt;0,'Plant Total by Account'!$H$1=2),"EKWRA TL Change","")</f>
        <v/>
      </c>
      <c r="V345" s="77">
        <v>5069</v>
      </c>
      <c r="W345" s="404">
        <f t="shared" si="27"/>
        <v>-6.9849193096160889E-9</v>
      </c>
    </row>
    <row r="346" spans="1:23" ht="12.75" customHeight="1" x14ac:dyDescent="0.2">
      <c r="A346" s="386" t="s">
        <v>2375</v>
      </c>
      <c r="B346" s="398" t="s">
        <v>1154</v>
      </c>
      <c r="C346" s="398" t="s">
        <v>3331</v>
      </c>
      <c r="D346" s="399">
        <v>678277.54</v>
      </c>
      <c r="E346" s="399">
        <v>560613.9</v>
      </c>
      <c r="F346" s="399">
        <v>22188910.909999985</v>
      </c>
      <c r="G346" s="524">
        <f t="shared" si="26"/>
        <v>23427802.349999987</v>
      </c>
      <c r="H346" s="400">
        <f>SUMIF('Mix Substation Location Summary'!$B$4:$B$107,B346,'Mix Substation Location Summary'!$C$4:$C$107)</f>
        <v>159640.85647750608</v>
      </c>
      <c r="I346" s="400">
        <f>SUMIF('Mix Substation Location Summary'!$B$4:$B$107,B346,'Mix Substation Location Summary'!$G$4:$G$107)</f>
        <v>129363.22765198936</v>
      </c>
      <c r="J346" s="400">
        <f>SUMIF('Mix Substation Location Summary'!$B$4:$B$107,B346,'Mix Substation Location Summary'!$K$4:$K$107)</f>
        <v>5225013.7212363267</v>
      </c>
      <c r="K346" s="400">
        <f>SUMIF('Mix Substation Location Summary'!$B$4:$B$107,B346,'Mix Substation Location Summary'!$D$4:$D$107)+SUMIF('Mix Substation Location Summary'!$B$4:$B$107,B346,'Mix Substation Location Summary'!$E$4:$E$107)</f>
        <v>518636.68352249393</v>
      </c>
      <c r="L346" s="400">
        <f>SUMIF('Mix Substation Location Summary'!$B$4:$B$107,B346,'Mix Substation Location Summary'!$H$4:$H$107)+SUMIF('Mix Substation Location Summary'!$B$4:$B$107,B346,'Mix Substation Location Summary'!$I$4:$I$107)</f>
        <v>431250.67234801059</v>
      </c>
      <c r="M346" s="400">
        <f>SUMIF('Mix Substation Location Summary'!$B$4:$B$107,B346,'Mix Substation Location Summary'!$L$4:$L$107)+SUMIF('Mix Substation Location Summary'!$B$4:$B$107,B346,'Mix Substation Location Summary'!$M$4:$M$107)</f>
        <v>16963897.188763674</v>
      </c>
      <c r="N346" s="398" t="s">
        <v>1482</v>
      </c>
      <c r="O346" s="398" t="s">
        <v>1476</v>
      </c>
      <c r="P346" s="403">
        <f>SUMIF('Antelope Bailey Split BA'!$B$7:$B$29,B346,'Antelope Bailey Split BA'!$C$7:$C$29)</f>
        <v>0</v>
      </c>
      <c r="Q346" s="403" t="str">
        <f>IF(AND(P346=1,'Plant Total by Account'!$H$1=2),"EKWRA","")</f>
        <v/>
      </c>
      <c r="S346" s="403">
        <f>SUMIF('ISO w_System Splits'!$D$524:$D$615,B346,'ISO w_System Splits'!$P$524:$P$615)</f>
        <v>0</v>
      </c>
      <c r="T346" s="403" t="str">
        <f>IF(AND(S346&lt;&gt;0,'Plant Total by Account'!$H$1=2),"EKWRA TL Change","")</f>
        <v/>
      </c>
      <c r="V346" s="77">
        <v>5071</v>
      </c>
      <c r="W346" s="404">
        <f t="shared" si="27"/>
        <v>0</v>
      </c>
    </row>
    <row r="347" spans="1:23" ht="12.75" customHeight="1" x14ac:dyDescent="0.2">
      <c r="A347" s="386" t="s">
        <v>2377</v>
      </c>
      <c r="B347" s="398" t="s">
        <v>1156</v>
      </c>
      <c r="C347" s="398" t="s">
        <v>3331</v>
      </c>
      <c r="D347" s="399">
        <v>164679.62</v>
      </c>
      <c r="E347" s="399">
        <v>8573785.549999997</v>
      </c>
      <c r="F347" s="399">
        <v>33207542.700000018</v>
      </c>
      <c r="G347" s="524">
        <f t="shared" si="26"/>
        <v>41946007.870000012</v>
      </c>
      <c r="H347" s="400">
        <f>SUMIF('Mix Substation Location Summary'!$B$4:$B$107,B347,'Mix Substation Location Summary'!$C$4:$C$107)</f>
        <v>58035.187583429935</v>
      </c>
      <c r="I347" s="400">
        <f>SUMIF('Mix Substation Location Summary'!$B$4:$B$107,B347,'Mix Substation Location Summary'!$G$4:$G$107)</f>
        <v>3021510.8141150144</v>
      </c>
      <c r="J347" s="400">
        <f>SUMIF('Mix Substation Location Summary'!$B$4:$B$107,B347,'Mix Substation Location Summary'!$K$4:$K$107)</f>
        <v>11702759.392930711</v>
      </c>
      <c r="K347" s="400">
        <f>SUMIF('Mix Substation Location Summary'!$B$4:$B$107,B347,'Mix Substation Location Summary'!$D$4:$D$107)+SUMIF('Mix Substation Location Summary'!$B$4:$B$107,B347,'Mix Substation Location Summary'!$E$4:$E$107)</f>
        <v>106644.43241657005</v>
      </c>
      <c r="L347" s="400">
        <f>SUMIF('Mix Substation Location Summary'!$B$4:$B$107,B347,'Mix Substation Location Summary'!$H$4:$H$107)+SUMIF('Mix Substation Location Summary'!$B$4:$B$107,B347,'Mix Substation Location Summary'!$I$4:$I$107)</f>
        <v>5552274.7358849868</v>
      </c>
      <c r="M347" s="400">
        <f>SUMIF('Mix Substation Location Summary'!$B$4:$B$107,B347,'Mix Substation Location Summary'!$L$4:$L$107)+SUMIF('Mix Substation Location Summary'!$B$4:$B$107,B347,'Mix Substation Location Summary'!$M$4:$M$107)</f>
        <v>21504783.30706929</v>
      </c>
      <c r="N347" s="398" t="s">
        <v>1482</v>
      </c>
      <c r="O347" s="398" t="s">
        <v>1476</v>
      </c>
      <c r="P347" s="403">
        <f>SUMIF('Antelope Bailey Split BA'!$B$7:$B$29,B347,'Antelope Bailey Split BA'!$C$7:$C$29)</f>
        <v>0</v>
      </c>
      <c r="Q347" s="403" t="str">
        <f>IF(AND(P347=1,'Plant Total by Account'!$H$1=2),"EKWRA","")</f>
        <v/>
      </c>
      <c r="S347" s="403">
        <f>SUMIF('ISO w_System Splits'!$D$524:$D$615,B347,'ISO w_System Splits'!$P$524:$P$615)</f>
        <v>0</v>
      </c>
      <c r="T347" s="403" t="str">
        <f>IF(AND(S347&lt;&gt;0,'Plant Total by Account'!$H$1=2),"EKWRA TL Change","")</f>
        <v/>
      </c>
      <c r="V347" s="77">
        <v>5073</v>
      </c>
      <c r="W347" s="404">
        <f t="shared" si="27"/>
        <v>0</v>
      </c>
    </row>
    <row r="348" spans="1:23" ht="12.75" customHeight="1" x14ac:dyDescent="0.2">
      <c r="A348" s="386" t="s">
        <v>2378</v>
      </c>
      <c r="B348" s="398" t="s">
        <v>1157</v>
      </c>
      <c r="C348" s="398" t="s">
        <v>3331</v>
      </c>
      <c r="D348" s="399">
        <v>131262.50000000003</v>
      </c>
      <c r="E348" s="399">
        <v>1465425.4300000004</v>
      </c>
      <c r="F348" s="399">
        <v>39715003.170000136</v>
      </c>
      <c r="G348" s="524">
        <f t="shared" si="26"/>
        <v>41311691.100000136</v>
      </c>
      <c r="H348" s="400">
        <f>SUMIF('Mix Substation Location Summary'!$B$4:$B$107,B348,'Mix Substation Location Summary'!$C$4:$C$107)</f>
        <v>36482.490789094161</v>
      </c>
      <c r="I348" s="400">
        <f>SUMIF('Mix Substation Location Summary'!$B$4:$B$107,B348,'Mix Substation Location Summary'!$G$4:$G$107)</f>
        <v>404087.37805177603</v>
      </c>
      <c r="J348" s="400">
        <f>SUMIF('Mix Substation Location Summary'!$B$4:$B$107,B348,'Mix Substation Location Summary'!$K$4:$K$107)</f>
        <v>11041410.057167346</v>
      </c>
      <c r="K348" s="400">
        <f>SUMIF('Mix Substation Location Summary'!$B$4:$B$107,B348,'Mix Substation Location Summary'!$D$4:$D$107)+SUMIF('Mix Substation Location Summary'!$B$4:$B$107,B348,'Mix Substation Location Summary'!$E$4:$E$107)</f>
        <v>94780.009210905861</v>
      </c>
      <c r="L348" s="400">
        <f>SUMIF('Mix Substation Location Summary'!$B$4:$B$107,B348,'Mix Substation Location Summary'!$H$4:$H$107)+SUMIF('Mix Substation Location Summary'!$B$4:$B$107,B348,'Mix Substation Location Summary'!$I$4:$I$107)</f>
        <v>1061338.0519482242</v>
      </c>
      <c r="M348" s="400">
        <f>SUMIF('Mix Substation Location Summary'!$B$4:$B$107,B348,'Mix Substation Location Summary'!$L$4:$L$107)+SUMIF('Mix Substation Location Summary'!$B$4:$B$107,B348,'Mix Substation Location Summary'!$M$4:$M$107)</f>
        <v>28673593.112832662</v>
      </c>
      <c r="N348" s="398" t="s">
        <v>1482</v>
      </c>
      <c r="O348" s="398" t="s">
        <v>1476</v>
      </c>
      <c r="P348" s="403">
        <f>SUMIF('Antelope Bailey Split BA'!$B$7:$B$29,B348,'Antelope Bailey Split BA'!$C$7:$C$29)</f>
        <v>0</v>
      </c>
      <c r="Q348" s="403" t="str">
        <f>IF(AND(P348=1,'Plant Total by Account'!$H$1=2),"EKWRA","")</f>
        <v/>
      </c>
      <c r="S348" s="403">
        <f>SUMIF('ISO w_System Splits'!$D$524:$D$615,B348,'ISO w_System Splits'!$P$524:$P$615)</f>
        <v>0</v>
      </c>
      <c r="T348" s="403" t="str">
        <f>IF(AND(S348&lt;&gt;0,'Plant Total by Account'!$H$1=2),"EKWRA TL Change","")</f>
        <v/>
      </c>
      <c r="V348" s="77">
        <v>5074</v>
      </c>
      <c r="W348" s="404">
        <f t="shared" si="27"/>
        <v>0</v>
      </c>
    </row>
    <row r="349" spans="1:23" ht="12.75" customHeight="1" x14ac:dyDescent="0.2">
      <c r="A349" s="386" t="s">
        <v>2379</v>
      </c>
      <c r="B349" s="398" t="s">
        <v>173</v>
      </c>
      <c r="C349" s="398" t="s">
        <v>3331</v>
      </c>
      <c r="D349" s="399">
        <v>185982.13999999998</v>
      </c>
      <c r="E349" s="399">
        <v>714826.34999999986</v>
      </c>
      <c r="F349" s="399">
        <v>44410784.479999997</v>
      </c>
      <c r="G349" s="524">
        <f t="shared" si="26"/>
        <v>45311592.969999999</v>
      </c>
      <c r="H349" s="400">
        <f>SUMIF('Mix Substation Location Summary'!$B$4:$B$107,B349,'Mix Substation Location Summary'!$C$4:$C$107)</f>
        <v>48620.621923627659</v>
      </c>
      <c r="I349" s="400">
        <f>SUMIF('Mix Substation Location Summary'!$B$4:$B$107,B349,'Mix Substation Location Summary'!$G$4:$G$107)</f>
        <v>211779.78002050592</v>
      </c>
      <c r="J349" s="400">
        <f>SUMIF('Mix Substation Location Summary'!$B$4:$B$107,B349,'Mix Substation Location Summary'!$K$4:$K$107)</f>
        <v>11585241.499755004</v>
      </c>
      <c r="K349" s="400">
        <f>SUMIF('Mix Substation Location Summary'!$B$4:$B$107,B349,'Mix Substation Location Summary'!$D$4:$D$107)+SUMIF('Mix Substation Location Summary'!$B$4:$B$107,B349,'Mix Substation Location Summary'!$E$4:$E$107)</f>
        <v>137361.5180763723</v>
      </c>
      <c r="L349" s="400">
        <f>SUMIF('Mix Substation Location Summary'!$B$4:$B$107,B349,'Mix Substation Location Summary'!$H$4:$H$107)+SUMIF('Mix Substation Location Summary'!$B$4:$B$107,B349,'Mix Substation Location Summary'!$I$4:$I$107)</f>
        <v>503046.56997949409</v>
      </c>
      <c r="M349" s="400">
        <f>SUMIF('Mix Substation Location Summary'!$B$4:$B$107,B349,'Mix Substation Location Summary'!$L$4:$L$107)+SUMIF('Mix Substation Location Summary'!$B$4:$B$107,B349,'Mix Substation Location Summary'!$M$4:$M$107)</f>
        <v>32825542.980244994</v>
      </c>
      <c r="N349" s="398" t="s">
        <v>1482</v>
      </c>
      <c r="O349" s="398" t="s">
        <v>1476</v>
      </c>
      <c r="P349" s="403">
        <f>SUMIF('Antelope Bailey Split BA'!$B$7:$B$29,B349,'Antelope Bailey Split BA'!$C$7:$C$29)</f>
        <v>0</v>
      </c>
      <c r="Q349" s="403" t="str">
        <f>IF(AND(P349=1,'Plant Total by Account'!$H$1=2),"EKWRA","")</f>
        <v/>
      </c>
      <c r="S349" s="403">
        <f>SUMIF('ISO w_System Splits'!$D$524:$D$615,B349,'ISO w_System Splits'!$P$524:$P$615)</f>
        <v>0</v>
      </c>
      <c r="T349" s="403" t="str">
        <f>IF(AND(S349&lt;&gt;0,'Plant Total by Account'!$H$1=2),"EKWRA TL Change","")</f>
        <v/>
      </c>
      <c r="V349" s="77">
        <v>5075</v>
      </c>
      <c r="W349" s="404">
        <f t="shared" si="27"/>
        <v>0</v>
      </c>
    </row>
    <row r="350" spans="1:23" ht="12.75" customHeight="1" x14ac:dyDescent="0.2">
      <c r="A350" s="386" t="s">
        <v>2382</v>
      </c>
      <c r="B350" s="398" t="s">
        <v>174</v>
      </c>
      <c r="C350" s="398" t="s">
        <v>3331</v>
      </c>
      <c r="D350" s="399">
        <v>86187.909999999989</v>
      </c>
      <c r="E350" s="399">
        <v>1393677.66</v>
      </c>
      <c r="F350" s="399">
        <v>43973907.059999987</v>
      </c>
      <c r="G350" s="524">
        <f t="shared" si="26"/>
        <v>45453772.629999988</v>
      </c>
      <c r="H350" s="400">
        <f>SUMIF('Mix Substation Location Summary'!$B$4:$B$107,B350,'Mix Substation Location Summary'!$C$4:$C$107)</f>
        <v>15880.155943971124</v>
      </c>
      <c r="I350" s="400">
        <f>SUMIF('Mix Substation Location Summary'!$B$4:$B$107,B350,'Mix Substation Location Summary'!$G$4:$G$107)</f>
        <v>255834.04010393136</v>
      </c>
      <c r="J350" s="400">
        <f>SUMIF('Mix Substation Location Summary'!$B$4:$B$107,B350,'Mix Substation Location Summary'!$K$4:$K$107)</f>
        <v>8103161.0922170812</v>
      </c>
      <c r="K350" s="400">
        <f>SUMIF('Mix Substation Location Summary'!$B$4:$B$107,B350,'Mix Substation Location Summary'!$D$4:$D$107)+SUMIF('Mix Substation Location Summary'!$B$4:$B$107,B350,'Mix Substation Location Summary'!$E$4:$E$107)</f>
        <v>70307.754056028876</v>
      </c>
      <c r="L350" s="400">
        <f>SUMIF('Mix Substation Location Summary'!$B$4:$B$107,B350,'Mix Substation Location Summary'!$H$4:$H$107)+SUMIF('Mix Substation Location Summary'!$B$4:$B$107,B350,'Mix Substation Location Summary'!$I$4:$I$107)</f>
        <v>1137843.6198960689</v>
      </c>
      <c r="M350" s="400">
        <f>SUMIF('Mix Substation Location Summary'!$B$4:$B$107,B350,'Mix Substation Location Summary'!$L$4:$L$107)+SUMIF('Mix Substation Location Summary'!$B$4:$B$107,B350,'Mix Substation Location Summary'!$M$4:$M$107)</f>
        <v>35870745.967782922</v>
      </c>
      <c r="N350" s="398" t="s">
        <v>1482</v>
      </c>
      <c r="O350" s="398" t="s">
        <v>1476</v>
      </c>
      <c r="P350" s="403">
        <f>SUMIF('Antelope Bailey Split BA'!$B$7:$B$29,B350,'Antelope Bailey Split BA'!$C$7:$C$29)</f>
        <v>0</v>
      </c>
      <c r="Q350" s="403" t="str">
        <f>IF(AND(P350=1,'Plant Total by Account'!$H$1=2),"EKWRA","")</f>
        <v/>
      </c>
      <c r="S350" s="403">
        <f>SUMIF('ISO w_System Splits'!$D$524:$D$615,B350,'ISO w_System Splits'!$P$524:$P$615)</f>
        <v>0</v>
      </c>
      <c r="T350" s="403" t="str">
        <f>IF(AND(S350&lt;&gt;0,'Plant Total by Account'!$H$1=2),"EKWRA TL Change","")</f>
        <v/>
      </c>
      <c r="V350" s="77">
        <v>5081</v>
      </c>
      <c r="W350" s="404">
        <f t="shared" si="27"/>
        <v>0</v>
      </c>
    </row>
    <row r="351" spans="1:23" ht="12.75" customHeight="1" x14ac:dyDescent="0.2">
      <c r="A351" s="386" t="s">
        <v>2383</v>
      </c>
      <c r="B351" s="398" t="s">
        <v>175</v>
      </c>
      <c r="C351" s="398" t="s">
        <v>3331</v>
      </c>
      <c r="D351" s="399">
        <v>270570.03000000003</v>
      </c>
      <c r="E351" s="399">
        <v>2990436.2699999996</v>
      </c>
      <c r="F351" s="399">
        <v>30308238.950000029</v>
      </c>
      <c r="G351" s="524">
        <f t="shared" si="26"/>
        <v>33569245.25000003</v>
      </c>
      <c r="H351" s="400">
        <f>SUMIF('Mix Substation Location Summary'!$B$4:$B$107,B351,'Mix Substation Location Summary'!$C$4:$C$107)</f>
        <v>62509.740237281811</v>
      </c>
      <c r="I351" s="400">
        <f>SUMIF('Mix Substation Location Summary'!$B$4:$B$107,B351,'Mix Substation Location Summary'!$G$4:$G$107)</f>
        <v>690487.1462498731</v>
      </c>
      <c r="J351" s="400">
        <f>SUMIF('Mix Substation Location Summary'!$B$4:$B$107,B351,'Mix Substation Location Summary'!$K$4:$K$107)</f>
        <v>7012796.8555231206</v>
      </c>
      <c r="K351" s="400">
        <f>SUMIF('Mix Substation Location Summary'!$B$4:$B$107,B351,'Mix Substation Location Summary'!$D$4:$D$107)+SUMIF('Mix Substation Location Summary'!$B$4:$B$107,B351,'Mix Substation Location Summary'!$E$4:$E$107)</f>
        <v>208060.2897627182</v>
      </c>
      <c r="L351" s="400">
        <f>SUMIF('Mix Substation Location Summary'!$B$4:$B$107,B351,'Mix Substation Location Summary'!$H$4:$H$107)+SUMIF('Mix Substation Location Summary'!$B$4:$B$107,B351,'Mix Substation Location Summary'!$I$4:$I$107)</f>
        <v>2299949.1237501269</v>
      </c>
      <c r="M351" s="400">
        <f>SUMIF('Mix Substation Location Summary'!$B$4:$B$107,B351,'Mix Substation Location Summary'!$L$4:$L$107)+SUMIF('Mix Substation Location Summary'!$B$4:$B$107,B351,'Mix Substation Location Summary'!$M$4:$M$107)</f>
        <v>23295442.094476897</v>
      </c>
      <c r="N351" s="398" t="s">
        <v>1482</v>
      </c>
      <c r="O351" s="398" t="s">
        <v>1476</v>
      </c>
      <c r="P351" s="403">
        <f>SUMIF('Antelope Bailey Split BA'!$B$7:$B$29,B351,'Antelope Bailey Split BA'!$C$7:$C$29)</f>
        <v>0</v>
      </c>
      <c r="Q351" s="403" t="str">
        <f>IF(AND(P351=1,'Plant Total by Account'!$H$1=2),"EKWRA","")</f>
        <v/>
      </c>
      <c r="S351" s="403">
        <f>SUMIF('ISO w_System Splits'!$D$524:$D$615,B351,'ISO w_System Splits'!$P$524:$P$615)</f>
        <v>0</v>
      </c>
      <c r="T351" s="403" t="str">
        <f>IF(AND(S351&lt;&gt;0,'Plant Total by Account'!$H$1=2),"EKWRA TL Change","")</f>
        <v/>
      </c>
      <c r="V351" s="77">
        <v>5082</v>
      </c>
      <c r="W351" s="404">
        <f t="shared" si="27"/>
        <v>0</v>
      </c>
    </row>
    <row r="352" spans="1:23" ht="12.75" customHeight="1" x14ac:dyDescent="0.2">
      <c r="A352" s="386" t="s">
        <v>103</v>
      </c>
      <c r="B352" s="398" t="s">
        <v>1160</v>
      </c>
      <c r="C352" s="398" t="s">
        <v>3331</v>
      </c>
      <c r="D352" s="399">
        <v>13285973.810000001</v>
      </c>
      <c r="E352" s="399">
        <v>8429230.9899999984</v>
      </c>
      <c r="F352" s="399">
        <v>28414674.810000021</v>
      </c>
      <c r="G352" s="524">
        <f t="shared" si="26"/>
        <v>50129879.610000014</v>
      </c>
      <c r="H352" s="400">
        <f>SUMIF('Mix Substation Location Summary'!$B$4:$B$107,B352,'Mix Substation Location Summary'!$C$4:$C$107)</f>
        <v>1887095.1421269081</v>
      </c>
      <c r="I352" s="400">
        <f>SUMIF('Mix Substation Location Summary'!$B$4:$B$107,B352,'Mix Substation Location Summary'!$G$4:$G$107)</f>
        <v>1169101.5107728194</v>
      </c>
      <c r="J352" s="400">
        <f>SUMIF('Mix Substation Location Summary'!$B$4:$B$107,B352,'Mix Substation Location Summary'!$K$4:$K$107)</f>
        <v>4156403.3545628078</v>
      </c>
      <c r="K352" s="400">
        <f>SUMIF('Mix Substation Location Summary'!$B$4:$B$107,B352,'Mix Substation Location Summary'!$D$4:$D$107)+SUMIF('Mix Substation Location Summary'!$B$4:$B$107,B352,'Mix Substation Location Summary'!$E$4:$E$107)</f>
        <v>11398878.667873092</v>
      </c>
      <c r="L352" s="400">
        <f>SUMIF('Mix Substation Location Summary'!$B$4:$B$107,B352,'Mix Substation Location Summary'!$H$4:$H$107)+SUMIF('Mix Substation Location Summary'!$B$4:$B$107,B352,'Mix Substation Location Summary'!$I$4:$I$107)</f>
        <v>7260129.4792271815</v>
      </c>
      <c r="M352" s="400">
        <f>SUMIF('Mix Substation Location Summary'!$B$4:$B$107,B352,'Mix Substation Location Summary'!$L$4:$L$107)+SUMIF('Mix Substation Location Summary'!$B$4:$B$107,B352,'Mix Substation Location Summary'!$M$4:$M$107)</f>
        <v>24258271.455437101</v>
      </c>
      <c r="N352" s="398" t="s">
        <v>1482</v>
      </c>
      <c r="O352" s="398" t="s">
        <v>1476</v>
      </c>
      <c r="P352" s="403">
        <f>SUMIF('Antelope Bailey Split BA'!$B$7:$B$29,B352,'Antelope Bailey Split BA'!$C$7:$C$29)</f>
        <v>0</v>
      </c>
      <c r="Q352" s="403" t="str">
        <f>IF(AND(P352=1,'Plant Total by Account'!$H$1=2),"EKWRA","")</f>
        <v/>
      </c>
      <c r="S352" s="403">
        <f>SUMIF('ISO w_System Splits'!$D$524:$D$615,B352,'ISO w_System Splits'!$P$524:$P$615)</f>
        <v>0</v>
      </c>
      <c r="T352" s="403" t="str">
        <f>IF(AND(S352&lt;&gt;0,'Plant Total by Account'!$H$1=2),"EKWRA TL Change","")</f>
        <v/>
      </c>
      <c r="V352" s="77">
        <v>5083</v>
      </c>
      <c r="W352" s="404">
        <f t="shared" si="27"/>
        <v>0</v>
      </c>
    </row>
    <row r="353" spans="1:23" ht="12.75" customHeight="1" x14ac:dyDescent="0.2">
      <c r="A353" s="386" t="s">
        <v>2384</v>
      </c>
      <c r="B353" s="398" t="s">
        <v>176</v>
      </c>
      <c r="C353" s="398" t="s">
        <v>3331</v>
      </c>
      <c r="D353" s="399">
        <v>72253.170000000013</v>
      </c>
      <c r="E353" s="399">
        <v>3484389.28</v>
      </c>
      <c r="F353" s="399">
        <v>31951393.530000012</v>
      </c>
      <c r="G353" s="524">
        <f t="shared" si="26"/>
        <v>35508035.980000012</v>
      </c>
      <c r="H353" s="400">
        <f>SUMIF('Mix Substation Location Summary'!$B$4:$B$107,B353,'Mix Substation Location Summary'!$C$4:$C$107)</f>
        <v>14072.350099194338</v>
      </c>
      <c r="I353" s="400">
        <f>SUMIF('Mix Substation Location Summary'!$B$4:$B$107,B353,'Mix Substation Location Summary'!$G$4:$G$107)</f>
        <v>675644.25049724837</v>
      </c>
      <c r="J353" s="400">
        <f>SUMIF('Mix Substation Location Summary'!$B$4:$B$107,B353,'Mix Substation Location Summary'!$K$4:$K$107)</f>
        <v>6226020.0119151939</v>
      </c>
      <c r="K353" s="400">
        <f>SUMIF('Mix Substation Location Summary'!$B$4:$B$107,B353,'Mix Substation Location Summary'!$D$4:$D$107)+SUMIF('Mix Substation Location Summary'!$B$4:$B$107,B353,'Mix Substation Location Summary'!$E$4:$E$107)</f>
        <v>58180.819900805669</v>
      </c>
      <c r="L353" s="400">
        <f>SUMIF('Mix Substation Location Summary'!$B$4:$B$107,B353,'Mix Substation Location Summary'!$H$4:$H$107)+SUMIF('Mix Substation Location Summary'!$B$4:$B$107,B353,'Mix Substation Location Summary'!$I$4:$I$107)</f>
        <v>2808745.0295027522</v>
      </c>
      <c r="M353" s="400">
        <f>SUMIF('Mix Substation Location Summary'!$B$4:$B$107,B353,'Mix Substation Location Summary'!$L$4:$L$107)+SUMIF('Mix Substation Location Summary'!$B$4:$B$107,B353,'Mix Substation Location Summary'!$M$4:$M$107)</f>
        <v>25725373.518084813</v>
      </c>
      <c r="N353" s="398" t="s">
        <v>1482</v>
      </c>
      <c r="O353" s="398" t="s">
        <v>1476</v>
      </c>
      <c r="P353" s="403">
        <f>SUMIF('Antelope Bailey Split BA'!$B$7:$B$29,B353,'Antelope Bailey Split BA'!$C$7:$C$29)</f>
        <v>0</v>
      </c>
      <c r="Q353" s="403" t="str">
        <f>IF(AND(P353=1,'Plant Total by Account'!$H$1=2),"EKWRA","")</f>
        <v/>
      </c>
      <c r="S353" s="403">
        <f>SUMIF('ISO w_System Splits'!$D$524:$D$615,B353,'ISO w_System Splits'!$P$524:$P$615)</f>
        <v>0</v>
      </c>
      <c r="T353" s="403" t="str">
        <f>IF(AND(S353&lt;&gt;0,'Plant Total by Account'!$H$1=2),"EKWRA TL Change","")</f>
        <v/>
      </c>
      <c r="V353" s="77">
        <v>5084</v>
      </c>
      <c r="W353" s="404">
        <f t="shared" si="27"/>
        <v>0</v>
      </c>
    </row>
    <row r="354" spans="1:23" ht="12.75" customHeight="1" x14ac:dyDescent="0.2">
      <c r="A354" s="386" t="s">
        <v>2385</v>
      </c>
      <c r="B354" s="398" t="s">
        <v>1340</v>
      </c>
      <c r="C354" s="398" t="s">
        <v>3331</v>
      </c>
      <c r="D354" s="399">
        <v>813416.04999999993</v>
      </c>
      <c r="E354" s="399">
        <v>3395692.3900000006</v>
      </c>
      <c r="F354" s="399">
        <v>14501837.229999995</v>
      </c>
      <c r="G354" s="524">
        <f t="shared" si="26"/>
        <v>18710945.669999994</v>
      </c>
      <c r="H354" s="400">
        <f>SUMIF('Mix Substation Location Summary'!$B$4:$B$107,B354,'Mix Substation Location Summary'!$C$4:$C$107)</f>
        <v>254309.02839388486</v>
      </c>
      <c r="I354" s="400">
        <f>SUMIF('Mix Substation Location Summary'!$B$4:$B$107,B354,'Mix Substation Location Summary'!$G$4:$G$107)</f>
        <v>1061320.6235823219</v>
      </c>
      <c r="J354" s="400">
        <f>SUMIF('Mix Substation Location Summary'!$B$4:$B$107,B354,'Mix Substation Location Summary'!$K$4:$K$107)</f>
        <v>5097496.9445331227</v>
      </c>
      <c r="K354" s="400">
        <f>SUMIF('Mix Substation Location Summary'!$B$4:$B$107,B354,'Mix Substation Location Summary'!$D$4:$D$107)+SUMIF('Mix Substation Location Summary'!$B$4:$B$107,B354,'Mix Substation Location Summary'!$E$4:$E$107)</f>
        <v>559107.02160611516</v>
      </c>
      <c r="L354" s="400">
        <f>SUMIF('Mix Substation Location Summary'!$B$4:$B$107,B354,'Mix Substation Location Summary'!$H$4:$H$107)+SUMIF('Mix Substation Location Summary'!$B$4:$B$107,B354,'Mix Substation Location Summary'!$I$4:$I$107)</f>
        <v>2334371.7664176784</v>
      </c>
      <c r="M354" s="400">
        <f>SUMIF('Mix Substation Location Summary'!$B$4:$B$107,B354,'Mix Substation Location Summary'!$L$4:$L$107)+SUMIF('Mix Substation Location Summary'!$B$4:$B$107,B354,'Mix Substation Location Summary'!$M$4:$M$107)</f>
        <v>9404340.2854668759</v>
      </c>
      <c r="N354" s="398" t="s">
        <v>1482</v>
      </c>
      <c r="O354" s="398" t="s">
        <v>1476</v>
      </c>
      <c r="P354" s="403">
        <f>SUMIF('Antelope Bailey Split BA'!$B$7:$B$29,B354,'Antelope Bailey Split BA'!$C$7:$C$29)</f>
        <v>0</v>
      </c>
      <c r="Q354" s="403" t="str">
        <f>IF(AND(P354=1,'Plant Total by Account'!$H$1=2),"EKWRA","")</f>
        <v/>
      </c>
      <c r="S354" s="403">
        <f>SUMIF('ISO w_System Splits'!$D$524:$D$615,B354,'ISO w_System Splits'!$P$524:$P$615)</f>
        <v>0</v>
      </c>
      <c r="T354" s="403" t="str">
        <f>IF(AND(S354&lt;&gt;0,'Plant Total by Account'!$H$1=2),"EKWRA TL Change","")</f>
        <v/>
      </c>
      <c r="V354" s="77" t="s">
        <v>1340</v>
      </c>
      <c r="W354" s="404">
        <f t="shared" si="27"/>
        <v>0</v>
      </c>
    </row>
    <row r="355" spans="1:23" ht="12.75" customHeight="1" x14ac:dyDescent="0.2">
      <c r="A355" s="386" t="s">
        <v>2386</v>
      </c>
      <c r="B355" s="398" t="s">
        <v>1161</v>
      </c>
      <c r="C355" s="398" t="s">
        <v>3331</v>
      </c>
      <c r="D355" s="399">
        <v>59737.3</v>
      </c>
      <c r="E355" s="399">
        <v>1262574.4299999997</v>
      </c>
      <c r="F355" s="399">
        <v>46404217.829999998</v>
      </c>
      <c r="G355" s="524">
        <f t="shared" si="26"/>
        <v>47726529.559999995</v>
      </c>
      <c r="H355" s="400">
        <f>SUMIF('Mix Substation Location Summary'!$B$4:$B$107,B355,'Mix Substation Location Summary'!$C$4:$C$107)</f>
        <v>10238.698805268556</v>
      </c>
      <c r="I355" s="400">
        <f>SUMIF('Mix Substation Location Summary'!$B$4:$B$107,B355,'Mix Substation Location Summary'!$G$4:$G$107)</f>
        <v>226680.98208811146</v>
      </c>
      <c r="J355" s="400">
        <f>SUMIF('Mix Substation Location Summary'!$B$4:$B$107,B355,'Mix Substation Location Summary'!$K$4:$K$107)</f>
        <v>7943188.2447340973</v>
      </c>
      <c r="K355" s="400">
        <f>SUMIF('Mix Substation Location Summary'!$B$4:$B$107,B355,'Mix Substation Location Summary'!$D$4:$D$107)+SUMIF('Mix Substation Location Summary'!$B$4:$B$107,B355,'Mix Substation Location Summary'!$E$4:$E$107)</f>
        <v>49498.601194731455</v>
      </c>
      <c r="L355" s="400">
        <f>SUMIF('Mix Substation Location Summary'!$B$4:$B$107,B355,'Mix Substation Location Summary'!$H$4:$H$107)+SUMIF('Mix Substation Location Summary'!$B$4:$B$107,B355,'Mix Substation Location Summary'!$I$4:$I$107)</f>
        <v>1035893.4479118888</v>
      </c>
      <c r="M355" s="400">
        <f>SUMIF('Mix Substation Location Summary'!$B$4:$B$107,B355,'Mix Substation Location Summary'!$L$4:$L$107)+SUMIF('Mix Substation Location Summary'!$B$4:$B$107,B355,'Mix Substation Location Summary'!$M$4:$M$107)</f>
        <v>38461029.585265897</v>
      </c>
      <c r="N355" s="398" t="s">
        <v>1482</v>
      </c>
      <c r="O355" s="398" t="s">
        <v>1476</v>
      </c>
      <c r="P355" s="403">
        <f>SUMIF('Antelope Bailey Split BA'!$B$7:$B$29,B355,'Antelope Bailey Split BA'!$C$7:$C$29)</f>
        <v>0</v>
      </c>
      <c r="Q355" s="403" t="str">
        <f>IF(AND(P355=1,'Plant Total by Account'!$H$1=2),"EKWRA","")</f>
        <v/>
      </c>
      <c r="S355" s="403">
        <f>SUMIF('ISO w_System Splits'!$D$524:$D$615,B355,'ISO w_System Splits'!$P$524:$P$615)</f>
        <v>0</v>
      </c>
      <c r="T355" s="403" t="str">
        <f>IF(AND(S355&lt;&gt;0,'Plant Total by Account'!$H$1=2),"EKWRA TL Change","")</f>
        <v/>
      </c>
      <c r="V355" s="77">
        <v>5086</v>
      </c>
      <c r="W355" s="404">
        <f t="shared" si="27"/>
        <v>0</v>
      </c>
    </row>
    <row r="356" spans="1:23" ht="12.75" customHeight="1" x14ac:dyDescent="0.2">
      <c r="A356" s="386" t="s">
        <v>2387</v>
      </c>
      <c r="B356" s="398" t="s">
        <v>1162</v>
      </c>
      <c r="C356" s="398" t="s">
        <v>3331</v>
      </c>
      <c r="D356" s="399">
        <v>390538.01</v>
      </c>
      <c r="E356" s="399">
        <v>1575932.29</v>
      </c>
      <c r="F356" s="399">
        <v>21998560.240000006</v>
      </c>
      <c r="G356" s="524">
        <f t="shared" si="26"/>
        <v>23965030.540000007</v>
      </c>
      <c r="H356" s="400">
        <f>SUMIF('Mix Substation Location Summary'!$B$4:$B$107,B356,'Mix Substation Location Summary'!$C$4:$C$107)</f>
        <v>61536.324687848413</v>
      </c>
      <c r="I356" s="400">
        <f>SUMIF('Mix Substation Location Summary'!$B$4:$B$107,B356,'Mix Substation Location Summary'!$G$4:$G$107)</f>
        <v>238866.84514057165</v>
      </c>
      <c r="J356" s="400">
        <f>SUMIF('Mix Substation Location Summary'!$B$4:$B$107,B356,'Mix Substation Location Summary'!$K$4:$K$107)</f>
        <v>3475720.6969973538</v>
      </c>
      <c r="K356" s="400">
        <f>SUMIF('Mix Substation Location Summary'!$B$4:$B$107,B356,'Mix Substation Location Summary'!$D$4:$D$107)+SUMIF('Mix Substation Location Summary'!$B$4:$B$107,B356,'Mix Substation Location Summary'!$E$4:$E$107)</f>
        <v>329001.68531215162</v>
      </c>
      <c r="L356" s="400">
        <f>SUMIF('Mix Substation Location Summary'!$B$4:$B$107,B356,'Mix Substation Location Summary'!$H$4:$H$107)+SUMIF('Mix Substation Location Summary'!$B$4:$B$107,B356,'Mix Substation Location Summary'!$I$4:$I$107)</f>
        <v>1337065.4448594288</v>
      </c>
      <c r="M356" s="400">
        <f>SUMIF('Mix Substation Location Summary'!$B$4:$B$107,B356,'Mix Substation Location Summary'!$L$4:$L$107)+SUMIF('Mix Substation Location Summary'!$B$4:$B$107,B356,'Mix Substation Location Summary'!$M$4:$M$107)</f>
        <v>18522839.54300265</v>
      </c>
      <c r="N356" s="398" t="s">
        <v>1482</v>
      </c>
      <c r="O356" s="398" t="s">
        <v>1476</v>
      </c>
      <c r="P356" s="403">
        <f>SUMIF('Antelope Bailey Split BA'!$B$7:$B$29,B356,'Antelope Bailey Split BA'!$C$7:$C$29)</f>
        <v>0</v>
      </c>
      <c r="Q356" s="403" t="str">
        <f>IF(AND(P356=1,'Plant Total by Account'!$H$1=2),"EKWRA","")</f>
        <v/>
      </c>
      <c r="S356" s="403">
        <f>SUMIF('ISO w_System Splits'!$D$524:$D$615,B356,'ISO w_System Splits'!$P$524:$P$615)</f>
        <v>0</v>
      </c>
      <c r="T356" s="403" t="str">
        <f>IF(AND(S356&lt;&gt;0,'Plant Total by Account'!$H$1=2),"EKWRA TL Change","")</f>
        <v/>
      </c>
      <c r="V356" s="77">
        <v>5087</v>
      </c>
      <c r="W356" s="404">
        <f t="shared" si="27"/>
        <v>0</v>
      </c>
    </row>
    <row r="357" spans="1:23" ht="12.75" customHeight="1" x14ac:dyDescent="0.2">
      <c r="A357" s="386" t="s">
        <v>2388</v>
      </c>
      <c r="B357" s="398" t="s">
        <v>1163</v>
      </c>
      <c r="C357" s="398" t="s">
        <v>3331</v>
      </c>
      <c r="D357" s="399">
        <v>557976.42000000004</v>
      </c>
      <c r="E357" s="399">
        <v>1623359.6099999999</v>
      </c>
      <c r="F357" s="399">
        <v>33283304.360000096</v>
      </c>
      <c r="G357" s="524">
        <f t="shared" si="26"/>
        <v>35464640.390000097</v>
      </c>
      <c r="H357" s="400">
        <f>SUMIF('Mix Substation Location Summary'!$B$4:$B$107,B357,'Mix Substation Location Summary'!$C$4:$C$107)</f>
        <v>90405.509884145999</v>
      </c>
      <c r="I357" s="400">
        <f>SUMIF('Mix Substation Location Summary'!$B$4:$B$107,B357,'Mix Substation Location Summary'!$G$4:$G$107)</f>
        <v>317432.86062883667</v>
      </c>
      <c r="J357" s="400">
        <f>SUMIF('Mix Substation Location Summary'!$B$4:$B$107,B357,'Mix Substation Location Summary'!$K$4:$K$107)</f>
        <v>5340985.8493920164</v>
      </c>
      <c r="K357" s="400">
        <f>SUMIF('Mix Substation Location Summary'!$B$4:$B$107,B357,'Mix Substation Location Summary'!$D$4:$D$107)+SUMIF('Mix Substation Location Summary'!$B$4:$B$107,B357,'Mix Substation Location Summary'!$E$4:$E$107)</f>
        <v>467570.910115854</v>
      </c>
      <c r="L357" s="400">
        <f>SUMIF('Mix Substation Location Summary'!$B$4:$B$107,B357,'Mix Substation Location Summary'!$H$4:$H$107)+SUMIF('Mix Substation Location Summary'!$B$4:$B$107,B357,'Mix Substation Location Summary'!$I$4:$I$107)</f>
        <v>1305926.7493711633</v>
      </c>
      <c r="M357" s="400">
        <f>SUMIF('Mix Substation Location Summary'!$B$4:$B$107,B357,'Mix Substation Location Summary'!$L$4:$L$107)+SUMIF('Mix Substation Location Summary'!$B$4:$B$107,B357,'Mix Substation Location Summary'!$M$4:$M$107)</f>
        <v>27942318.510607976</v>
      </c>
      <c r="N357" s="398" t="s">
        <v>1482</v>
      </c>
      <c r="O357" s="398" t="s">
        <v>1476</v>
      </c>
      <c r="P357" s="403">
        <f>SUMIF('Antelope Bailey Split BA'!$B$7:$B$29,B357,'Antelope Bailey Split BA'!$C$7:$C$29)</f>
        <v>0</v>
      </c>
      <c r="Q357" s="403" t="str">
        <f>IF(AND(P357=1,'Plant Total by Account'!$H$1=2),"EKWRA","")</f>
        <v/>
      </c>
      <c r="S357" s="403">
        <f>SUMIF('ISO w_System Splits'!$D$524:$D$615,B357,'ISO w_System Splits'!$P$524:$P$615)</f>
        <v>0</v>
      </c>
      <c r="T357" s="403" t="str">
        <f>IF(AND(S357&lt;&gt;0,'Plant Total by Account'!$H$1=2),"EKWRA TL Change","")</f>
        <v/>
      </c>
      <c r="V357" s="77">
        <v>5088</v>
      </c>
      <c r="W357" s="404">
        <f t="shared" si="27"/>
        <v>0</v>
      </c>
    </row>
    <row r="358" spans="1:23" ht="12.75" customHeight="1" x14ac:dyDescent="0.2">
      <c r="A358" s="386" t="s">
        <v>2396</v>
      </c>
      <c r="B358" s="398" t="s">
        <v>177</v>
      </c>
      <c r="C358" s="398" t="s">
        <v>3331</v>
      </c>
      <c r="D358" s="399">
        <v>186144.15</v>
      </c>
      <c r="E358" s="399">
        <v>3595471.3399999989</v>
      </c>
      <c r="F358" s="399">
        <v>47196887.720000029</v>
      </c>
      <c r="G358" s="524">
        <f t="shared" si="26"/>
        <v>50978503.210000031</v>
      </c>
      <c r="H358" s="400">
        <f>SUMIF('Mix Substation Location Summary'!$B$4:$B$107,"5096 &amp; 1094",'Mix Substation Location Summary'!$C$4:$C$107)</f>
        <v>40847.598485576338</v>
      </c>
      <c r="I358" s="400">
        <f>SUMIF('Mix Substation Location Summary'!$B$4:$B$107,"5096 &amp; 1094",'Mix Substation Location Summary'!$G$4:$G$107)</f>
        <v>788978.34576033673</v>
      </c>
      <c r="J358" s="400">
        <f>SUMIF('Mix Substation Location Summary'!$B$4:$B$107,"5096 &amp; 1094",'Mix Substation Location Summary'!$K$4:$K$107)</f>
        <v>10356989.476914385</v>
      </c>
      <c r="K358" s="400">
        <f>SUMIF('Mix Substation Location Summary'!$B$4:$B$107,"5096 &amp; 1094",'Mix Substation Location Summary'!$D$4:$D$107)+SUMIF('Mix Substation Location Summary'!$B$4:$B$107,"5096 &amp; 1094",'Mix Substation Location Summary'!$E$4:$E$107)</f>
        <v>145296.55151442363</v>
      </c>
      <c r="L358" s="400">
        <f>SUMIF('Mix Substation Location Summary'!$B$4:$B$107,"5096 &amp; 1094",'Mix Substation Location Summary'!$H$4:$H$107)+SUMIF('Mix Substation Location Summary'!$B$4:$B$107,"5096 &amp; 1094",'Mix Substation Location Summary'!$I$4:$I$107)</f>
        <v>2806492.9942396632</v>
      </c>
      <c r="M358" s="400">
        <f>SUMIF('Mix Substation Location Summary'!$B$4:$B$107,"5096 &amp; 1094",'Mix Substation Location Summary'!$L$4:$L$107)+SUMIF('Mix Substation Location Summary'!$B$4:$B$107,"5096 &amp; 1094",'Mix Substation Location Summary'!$M$4:$M$107)</f>
        <v>36839898.243085623</v>
      </c>
      <c r="N358" s="398" t="s">
        <v>1482</v>
      </c>
      <c r="O358" s="398" t="s">
        <v>1476</v>
      </c>
      <c r="P358" s="403">
        <f>SUMIF('Antelope Bailey Split BA'!$B$7:$B$29,B358,'Antelope Bailey Split BA'!$C$7:$C$29)</f>
        <v>0</v>
      </c>
      <c r="Q358" s="403" t="str">
        <f>IF(AND(P358=1,'Plant Total by Account'!$H$1=2),"EKWRA","")</f>
        <v/>
      </c>
      <c r="S358" s="403">
        <f>SUMIF('ISO w_System Splits'!$D$524:$D$615,B358,'ISO w_System Splits'!$P$524:$P$615)</f>
        <v>0</v>
      </c>
      <c r="T358" s="403" t="str">
        <f>IF(AND(S358&lt;&gt;0,'Plant Total by Account'!$H$1=2),"EKWRA TL Change","")</f>
        <v/>
      </c>
      <c r="V358" s="77">
        <v>5096</v>
      </c>
      <c r="W358" s="404">
        <f t="shared" si="27"/>
        <v>0</v>
      </c>
    </row>
    <row r="359" spans="1:23" ht="12.75" customHeight="1" x14ac:dyDescent="0.2">
      <c r="A359" s="386" t="s">
        <v>2477</v>
      </c>
      <c r="B359" s="398" t="s">
        <v>2240</v>
      </c>
      <c r="C359" s="398" t="s">
        <v>3331</v>
      </c>
      <c r="D359" s="399">
        <v>0</v>
      </c>
      <c r="E359" s="399">
        <v>35206242.409999996</v>
      </c>
      <c r="F359" s="399">
        <v>46905542.439999998</v>
      </c>
      <c r="G359" s="524">
        <f t="shared" si="26"/>
        <v>82111784.849999994</v>
      </c>
      <c r="H359" s="400">
        <f>SUMIF('Mix Substation Location Summary'!$B$4:$B$107,B359,'Mix Substation Location Summary'!$C$4:$C$107)</f>
        <v>0</v>
      </c>
      <c r="I359" s="400">
        <f>SUMIF('Mix Substation Location Summary'!$B$4:$B$107,B359,'Mix Substation Location Summary'!$G$4:$G$107)</f>
        <v>7160591.6766101699</v>
      </c>
      <c r="J359" s="400">
        <f>SUMIF('Mix Substation Location Summary'!$B$4:$B$107,B359,'Mix Substation Location Summary'!$K$4:$K$107)</f>
        <v>9540110.3267796598</v>
      </c>
      <c r="K359" s="400">
        <f>SUMIF('Mix Substation Location Summary'!$B$4:$B$107,B359,'Mix Substation Location Summary'!$D$4:$D$107)+SUMIF('Mix Substation Location Summary'!$B$4:$B$107,B359,'Mix Substation Location Summary'!$E$4:$E$107)</f>
        <v>0</v>
      </c>
      <c r="L359" s="400">
        <f>SUMIF('Mix Substation Location Summary'!$B$4:$B$107,B359,'Mix Substation Location Summary'!$H$4:$H$107)+SUMIF('Mix Substation Location Summary'!$B$4:$B$107,B359,'Mix Substation Location Summary'!$I$4:$I$107)</f>
        <v>28045650.733389828</v>
      </c>
      <c r="M359" s="400">
        <f>SUMIF('Mix Substation Location Summary'!$B$4:$B$107,B359,'Mix Substation Location Summary'!$L$4:$L$107)+SUMIF('Mix Substation Location Summary'!$B$4:$B$107,B359,'Mix Substation Location Summary'!$M$4:$M$107)</f>
        <v>37365432.113220334</v>
      </c>
      <c r="N359" s="398" t="s">
        <v>1482</v>
      </c>
      <c r="O359" s="398" t="s">
        <v>1476</v>
      </c>
      <c r="P359" s="403">
        <f>SUMIF('Antelope Bailey Split BA'!$B$7:$B$29,B359,'Antelope Bailey Split BA'!$C$7:$C$29)</f>
        <v>0</v>
      </c>
      <c r="Q359" s="403" t="str">
        <f>IF(AND(P359=1,'Plant Total by Account'!$H$1=2),"EKWRA","")</f>
        <v/>
      </c>
      <c r="S359" s="403">
        <f>SUMIF('ISO w_System Splits'!$D$524:$D$615,B359,'ISO w_System Splits'!$P$524:$P$615)</f>
        <v>0</v>
      </c>
      <c r="T359" s="403" t="str">
        <f>IF(AND(S359&lt;&gt;0,'Plant Total by Account'!$H$1=2),"EKWRA TL Change","")</f>
        <v/>
      </c>
      <c r="V359" s="77">
        <v>8006</v>
      </c>
      <c r="W359" s="404">
        <f t="shared" si="27"/>
        <v>0</v>
      </c>
    </row>
    <row r="360" spans="1:23" ht="12.75" customHeight="1" x14ac:dyDescent="0.2">
      <c r="A360" s="386" t="s">
        <v>2481</v>
      </c>
      <c r="B360" s="398" t="s">
        <v>1180</v>
      </c>
      <c r="C360" s="398" t="s">
        <v>3331</v>
      </c>
      <c r="D360" s="399">
        <v>629540.58000000019</v>
      </c>
      <c r="E360" s="399">
        <v>4035526.1</v>
      </c>
      <c r="F360" s="399">
        <v>29412559.739999983</v>
      </c>
      <c r="G360" s="524">
        <f t="shared" si="26"/>
        <v>34077626.419999987</v>
      </c>
      <c r="H360" s="400">
        <f>SUMIF('Mix Substation Location Summary'!$B$4:$B$107,B360,'Mix Substation Location Summary'!$C$4:$C$107)</f>
        <v>168034.23774045531</v>
      </c>
      <c r="I360" s="400">
        <f>SUMIF('Mix Substation Location Summary'!$B$4:$B$107,B360,'Mix Substation Location Summary'!$G$4:$G$107)</f>
        <v>1095285.0318836188</v>
      </c>
      <c r="J360" s="400">
        <f>SUMIF('Mix Substation Location Summary'!$B$4:$B$107,B360,'Mix Substation Location Summary'!$K$4:$K$107)</f>
        <v>7724215.7416085312</v>
      </c>
      <c r="K360" s="400">
        <f>SUMIF('Mix Substation Location Summary'!$B$4:$B$107,B360,'Mix Substation Location Summary'!$D$4:$D$107)+SUMIF('Mix Substation Location Summary'!$B$4:$B$107,B360,'Mix Substation Location Summary'!$E$4:$E$107)</f>
        <v>461506.34225954476</v>
      </c>
      <c r="L360" s="400">
        <f>SUMIF('Mix Substation Location Summary'!$B$4:$B$107,B360,'Mix Substation Location Summary'!$H$4:$H$107)+SUMIF('Mix Substation Location Summary'!$B$4:$B$107,B360,'Mix Substation Location Summary'!$I$4:$I$107)</f>
        <v>2940241.0681163818</v>
      </c>
      <c r="M360" s="400">
        <f>SUMIF('Mix Substation Location Summary'!$B$4:$B$107,B360,'Mix Substation Location Summary'!$L$4:$L$107)+SUMIF('Mix Substation Location Summary'!$B$4:$B$107,B360,'Mix Substation Location Summary'!$M$4:$M$107)</f>
        <v>21688343.998391464</v>
      </c>
      <c r="N360" s="398" t="s">
        <v>1482</v>
      </c>
      <c r="O360" s="398" t="s">
        <v>1476</v>
      </c>
      <c r="P360" s="403">
        <f>SUMIF('Antelope Bailey Split BA'!$B$7:$B$29,B360,'Antelope Bailey Split BA'!$C$7:$C$29)</f>
        <v>0</v>
      </c>
      <c r="Q360" s="403" t="str">
        <f>IF(AND(P360=1,'Plant Total by Account'!$H$1=2),"EKWRA","")</f>
        <v/>
      </c>
      <c r="S360" s="403">
        <f>SUMIF('ISO w_System Splits'!$D$524:$D$615,B360,'ISO w_System Splits'!$P$524:$P$615)</f>
        <v>0</v>
      </c>
      <c r="T360" s="403" t="str">
        <f>IF(AND(S360&lt;&gt;0,'Plant Total by Account'!$H$1=2),"EKWRA TL Change","")</f>
        <v/>
      </c>
      <c r="V360" s="77">
        <v>8012</v>
      </c>
      <c r="W360" s="404">
        <f t="shared" si="27"/>
        <v>0</v>
      </c>
    </row>
    <row r="361" spans="1:23" ht="12.75" customHeight="1" x14ac:dyDescent="0.2">
      <c r="A361" s="386" t="s">
        <v>2504</v>
      </c>
      <c r="B361" s="398" t="s">
        <v>1199</v>
      </c>
      <c r="C361" s="398" t="s">
        <v>3329</v>
      </c>
      <c r="D361" s="399">
        <v>17113.75</v>
      </c>
      <c r="E361" s="399">
        <v>94614.940000000017</v>
      </c>
      <c r="F361" s="399">
        <v>6586444.9999999972</v>
      </c>
      <c r="G361" s="524">
        <f t="shared" ref="G361:G392" si="28">SUM(D361:F361)</f>
        <v>6698173.6899999976</v>
      </c>
      <c r="H361" s="400">
        <f>SUMIF('Mix Substation Location Summary'!$B$4:$B$107,B361,'Mix Substation Location Summary'!$C$4:$C$107)</f>
        <v>2228.2803868731094</v>
      </c>
      <c r="I361" s="400">
        <f>SUMIF('Mix Substation Location Summary'!$B$4:$B$107,B361,'Mix Substation Location Summary'!$G$4:$G$107)</f>
        <v>12137.991914816937</v>
      </c>
      <c r="J361" s="400">
        <f>SUMIF('Mix Substation Location Summary'!$B$4:$B$107,B361,'Mix Substation Location Summary'!$K$4:$K$107)</f>
        <v>857763.39310165425</v>
      </c>
      <c r="K361" s="400">
        <f>SUMIF('Mix Substation Location Summary'!$B$4:$B$107,B361,'Mix Substation Location Summary'!$D$4:$D$107)+SUMIF('Mix Substation Location Summary'!$B$4:$B$107,B361,'Mix Substation Location Summary'!$E$4:$E$107)</f>
        <v>14885.469613126892</v>
      </c>
      <c r="L361" s="400">
        <f>SUMIF('Mix Substation Location Summary'!$B$4:$B$107,B361,'Mix Substation Location Summary'!$H$4:$H$107)+SUMIF('Mix Substation Location Summary'!$B$4:$B$107,B361,'Mix Substation Location Summary'!$I$4:$I$107)</f>
        <v>82476.948085183074</v>
      </c>
      <c r="M361" s="400">
        <f>SUMIF('Mix Substation Location Summary'!$B$4:$B$107,B361,'Mix Substation Location Summary'!$L$4:$L$107)+SUMIF('Mix Substation Location Summary'!$B$4:$B$107,B361,'Mix Substation Location Summary'!$M$4:$M$107)</f>
        <v>5728681.606898346</v>
      </c>
      <c r="N361" s="398" t="s">
        <v>1482</v>
      </c>
      <c r="O361" s="415" t="s">
        <v>1477</v>
      </c>
      <c r="P361" s="403">
        <f>SUMIF('Antelope Bailey Split BA'!$B$7:$B$29,B361,'Antelope Bailey Split BA'!$C$7:$C$29)</f>
        <v>0</v>
      </c>
      <c r="Q361" s="403" t="str">
        <f>IF(AND(P361=1,'Plant Total by Account'!$H$1=2),"EKWRA","")</f>
        <v/>
      </c>
      <c r="S361" s="403">
        <f>SUMIF('ISO w_System Splits'!$D$524:$D$615,B361,'ISO w_System Splits'!$P$524:$P$615)</f>
        <v>0</v>
      </c>
      <c r="T361" s="403" t="str">
        <f>IF(AND(S361&lt;&gt;0,'Plant Total by Account'!$H$1=2),"EKWRA TL Change","")</f>
        <v/>
      </c>
      <c r="V361" s="77">
        <v>8037</v>
      </c>
      <c r="W361" s="404">
        <f t="shared" si="27"/>
        <v>0</v>
      </c>
    </row>
    <row r="362" spans="1:23" ht="12.75" customHeight="1" x14ac:dyDescent="0.2">
      <c r="A362" s="386" t="s">
        <v>2513</v>
      </c>
      <c r="B362" s="398" t="s">
        <v>1208</v>
      </c>
      <c r="C362" s="398" t="s">
        <v>3331</v>
      </c>
      <c r="D362" s="399">
        <v>22088.07</v>
      </c>
      <c r="E362" s="399">
        <v>5330121.5600000024</v>
      </c>
      <c r="F362" s="399">
        <v>58593735.900000021</v>
      </c>
      <c r="G362" s="524">
        <f t="shared" si="28"/>
        <v>63945945.530000024</v>
      </c>
      <c r="H362" s="400">
        <f>SUMIF('Mix Substation Location Summary'!$B$4:$B$107,B362,'Mix Substation Location Summary'!$C$4:$C$107)</f>
        <v>18831.568805125495</v>
      </c>
      <c r="I362" s="400">
        <f>SUMIF('Mix Substation Location Summary'!$B$4:$B$107,B362,'Mix Substation Location Summary'!$G$4:$G$107)</f>
        <v>5151040.3699562075</v>
      </c>
      <c r="J362" s="400">
        <f>SUMIF('Mix Substation Location Summary'!$B$4:$B$107,B362,'Mix Substation Location Summary'!$K$4:$K$107)</f>
        <v>49348357.723540641</v>
      </c>
      <c r="K362" s="400">
        <f>SUMIF('Mix Substation Location Summary'!$B$4:$B$107,B362,'Mix Substation Location Summary'!$D$4:$D$107)+SUMIF('Mix Substation Location Summary'!$B$4:$B$107,B362,'Mix Substation Location Summary'!$E$4:$E$107)</f>
        <v>3256.501194874505</v>
      </c>
      <c r="L362" s="400">
        <f>SUMIF('Mix Substation Location Summary'!$B$4:$B$107,B362,'Mix Substation Location Summary'!$H$4:$H$107)+SUMIF('Mix Substation Location Summary'!$B$4:$B$107,B362,'Mix Substation Location Summary'!$I$4:$I$107)</f>
        <v>179081.19004379242</v>
      </c>
      <c r="M362" s="400">
        <f>SUMIF('Mix Substation Location Summary'!$B$4:$B$107,B362,'Mix Substation Location Summary'!$L$4:$L$107)+SUMIF('Mix Substation Location Summary'!$B$4:$B$107,B362,'Mix Substation Location Summary'!$M$4:$M$107)</f>
        <v>9245378.176459372</v>
      </c>
      <c r="N362" s="398" t="s">
        <v>1482</v>
      </c>
      <c r="O362" s="398" t="s">
        <v>1723</v>
      </c>
      <c r="P362" s="403">
        <f>SUMIF('Antelope Bailey Split BA'!$B$7:$B$29,B362,'Antelope Bailey Split BA'!$C$7:$C$29)</f>
        <v>0</v>
      </c>
      <c r="Q362" s="403" t="str">
        <f>IF(AND(P362=1,'Plant Total by Account'!$H$1=2),"EKWRA","")</f>
        <v/>
      </c>
      <c r="S362" s="403">
        <f>SUMIF('ISO w_System Splits'!$D$524:$D$615,B362,'ISO w_System Splits'!$P$524:$P$615)</f>
        <v>0</v>
      </c>
      <c r="T362" s="403" t="str">
        <f>IF(AND(S362&lt;&gt;0,'Plant Total by Account'!$H$1=2),"EKWRA TL Change","")</f>
        <v/>
      </c>
      <c r="V362" s="77">
        <v>8049</v>
      </c>
      <c r="W362" s="404">
        <f t="shared" si="27"/>
        <v>2.5029294192790985E-9</v>
      </c>
    </row>
    <row r="363" spans="1:23" ht="12.75" customHeight="1" x14ac:dyDescent="0.2">
      <c r="A363" s="386" t="s">
        <v>2516</v>
      </c>
      <c r="B363" s="398" t="s">
        <v>1211</v>
      </c>
      <c r="C363" s="398" t="s">
        <v>3331</v>
      </c>
      <c r="D363" s="399">
        <v>0</v>
      </c>
      <c r="E363" s="399">
        <v>253575.50000000003</v>
      </c>
      <c r="F363" s="399">
        <v>15410457.579999983</v>
      </c>
      <c r="G363" s="524">
        <f t="shared" si="28"/>
        <v>15664033.079999983</v>
      </c>
      <c r="H363" s="400">
        <f>SUMIF('Mix Substation Location Summary'!$B$4:$B$107,B363,'Mix Substation Location Summary'!$C$4:$C$107)</f>
        <v>0</v>
      </c>
      <c r="I363" s="400">
        <f>SUMIF('Mix Substation Location Summary'!$B$4:$B$107,B363,'Mix Substation Location Summary'!$G$4:$G$107)</f>
        <v>59734.168349336418</v>
      </c>
      <c r="J363" s="400">
        <f>SUMIF('Mix Substation Location Summary'!$B$4:$B$107,B363,'Mix Substation Location Summary'!$K$4:$K$107)</f>
        <v>3630204.287969566</v>
      </c>
      <c r="K363" s="400">
        <f>SUMIF('Mix Substation Location Summary'!$B$4:$B$107,B363,'Mix Substation Location Summary'!$D$4:$D$107)+SUMIF('Mix Substation Location Summary'!$B$4:$B$107,B363,'Mix Substation Location Summary'!$E$4:$E$107)</f>
        <v>0</v>
      </c>
      <c r="L363" s="400">
        <f>SUMIF('Mix Substation Location Summary'!$B$4:$B$107,B363,'Mix Substation Location Summary'!$H$4:$H$107)+SUMIF('Mix Substation Location Summary'!$B$4:$B$107,B363,'Mix Substation Location Summary'!$I$4:$I$107)</f>
        <v>193841.33165066357</v>
      </c>
      <c r="M363" s="400">
        <f>SUMIF('Mix Substation Location Summary'!$B$4:$B$107,B363,'Mix Substation Location Summary'!$L$4:$L$107)+SUMIF('Mix Substation Location Summary'!$B$4:$B$107,B363,'Mix Substation Location Summary'!$M$4:$M$107)</f>
        <v>11780253.292030422</v>
      </c>
      <c r="N363" s="398" t="s">
        <v>1482</v>
      </c>
      <c r="O363" s="398" t="s">
        <v>1476</v>
      </c>
      <c r="P363" s="403">
        <f>SUMIF('Antelope Bailey Split BA'!$B$7:$B$29,B363,'Antelope Bailey Split BA'!$C$7:$C$29)</f>
        <v>0</v>
      </c>
      <c r="Q363" s="403" t="str">
        <f>IF(AND(P363=1,'Plant Total by Account'!$H$1=2),"EKWRA","")</f>
        <v/>
      </c>
      <c r="S363" s="403">
        <f>SUMIF('ISO w_System Splits'!$D$524:$D$615,B363,'ISO w_System Splits'!$P$524:$P$615)</f>
        <v>0</v>
      </c>
      <c r="T363" s="403" t="str">
        <f>IF(AND(S363&lt;&gt;0,'Plant Total by Account'!$H$1=2),"EKWRA TL Change","")</f>
        <v/>
      </c>
      <c r="V363" s="77">
        <v>8063</v>
      </c>
      <c r="W363" s="404">
        <f t="shared" si="27"/>
        <v>0</v>
      </c>
    </row>
    <row r="364" spans="1:23" ht="12.75" customHeight="1" x14ac:dyDescent="0.2">
      <c r="A364" s="386" t="s">
        <v>893</v>
      </c>
      <c r="B364" s="398" t="s">
        <v>1400</v>
      </c>
      <c r="C364" s="398" t="s">
        <v>3329</v>
      </c>
      <c r="D364" s="399">
        <v>7964.44</v>
      </c>
      <c r="E364" s="399">
        <v>103561.94000000002</v>
      </c>
      <c r="F364" s="399">
        <v>6773479.2200000025</v>
      </c>
      <c r="G364" s="524">
        <f t="shared" si="28"/>
        <v>6885005.6000000024</v>
      </c>
      <c r="H364" s="406">
        <f>SUMIF('Mix Substation Location Summary'!$B$4:$B$107,B364,'Mix Substation Location Summary'!$C$4:$C$107)</f>
        <v>4949.8635027554865</v>
      </c>
      <c r="I364" s="400">
        <f>SUMIF('Mix Substation Location Summary'!$B$4:$B$107,B364,'Mix Substation Location Summary'!$G$4:$G$107)</f>
        <v>64209.716554795115</v>
      </c>
      <c r="J364" s="407">
        <f>SUMIF('Mix Substation Location Summary'!$B$4:$B$107,B364,'Mix Substation Location Summary'!$K$4:$K$107)</f>
        <v>4209840.3164457995</v>
      </c>
      <c r="K364" s="406">
        <f>SUMIF('Mix Substation Location Summary'!$B$4:$B$107,B364,'Mix Substation Location Summary'!$D$4:$D$107)+SUMIF('Mix Substation Location Summary'!$B$4:$B$107,B364,'Mix Substation Location Summary'!$E$4:$E$107)</f>
        <v>3014.5764972445136</v>
      </c>
      <c r="L364" s="407">
        <f>SUMIF('Mix Substation Location Summary'!$B$4:$B$107,B364,'Mix Substation Location Summary'!$H$4:$H$107)+SUMIF('Mix Substation Location Summary'!$B$4:$B$107,B364,'Mix Substation Location Summary'!$I$4:$I$107)</f>
        <v>39352.223445204894</v>
      </c>
      <c r="M364" s="407">
        <f>SUMIF('Mix Substation Location Summary'!$B$4:$B$107,B364,'Mix Substation Location Summary'!$L$4:$L$107)+SUMIF('Mix Substation Location Summary'!$B$4:$B$107,B364,'Mix Substation Location Summary'!$M$4:$M$107)</f>
        <v>2563638.9035542007</v>
      </c>
      <c r="N364" s="398" t="s">
        <v>1482</v>
      </c>
      <c r="O364" s="415" t="s">
        <v>1477</v>
      </c>
      <c r="P364" s="403">
        <f>SUMIF('Antelope Bailey Split BA'!$B$7:$B$29,B364,'Antelope Bailey Split BA'!$C$7:$C$29)</f>
        <v>0</v>
      </c>
      <c r="Q364" s="403" t="str">
        <f>IF(AND(P364=1,'Plant Total by Account'!$H$1=2),"EKWRA","")</f>
        <v/>
      </c>
      <c r="S364" s="403">
        <f>SUMIF('ISO w_System Splits'!$D$524:$D$615,B364,'ISO w_System Splits'!$P$524:$P$615)</f>
        <v>0</v>
      </c>
      <c r="T364" s="403" t="str">
        <f>IF(AND(S364&lt;&gt;0,'Plant Total by Account'!$H$1=2),"EKWRA TL Change","")</f>
        <v/>
      </c>
      <c r="V364" s="387" t="s">
        <v>1400</v>
      </c>
      <c r="W364" s="404">
        <f t="shared" si="27"/>
        <v>0</v>
      </c>
    </row>
    <row r="365" spans="1:23" ht="12.75" customHeight="1" x14ac:dyDescent="0.2">
      <c r="A365" s="386" t="s">
        <v>890</v>
      </c>
      <c r="B365" s="398" t="s">
        <v>1384</v>
      </c>
      <c r="C365" s="398" t="s">
        <v>3331</v>
      </c>
      <c r="D365" s="399">
        <v>48811.41</v>
      </c>
      <c r="E365" s="399">
        <v>630433.3600000001</v>
      </c>
      <c r="F365" s="399">
        <v>26686331.109999999</v>
      </c>
      <c r="G365" s="524">
        <f t="shared" si="28"/>
        <v>27365575.879999999</v>
      </c>
      <c r="H365" s="406">
        <f>SUMIF('Mix Substation Location Summary'!$B$4:$B$107,B365,'Mix Substation Location Summary'!$C$4:$C$107)</f>
        <v>28584.969909692139</v>
      </c>
      <c r="I365" s="400">
        <f>SUMIF('Mix Substation Location Summary'!$B$4:$B$107,B365,'Mix Substation Location Summary'!$G$4:$G$107)</f>
        <v>342806.61918786593</v>
      </c>
      <c r="J365" s="407">
        <f>SUMIF('Mix Substation Location Summary'!$B$4:$B$107,B365,'Mix Substation Location Summary'!$K$4:$K$107)</f>
        <v>15657528.111002665</v>
      </c>
      <c r="K365" s="406">
        <f>SUMIF('Mix Substation Location Summary'!$B$4:$B$107,B365,'Mix Substation Location Summary'!$D$4:$D$107)+SUMIF('Mix Substation Location Summary'!$B$4:$B$107,B365,'Mix Substation Location Summary'!$E$4:$E$107)</f>
        <v>20226.440090307864</v>
      </c>
      <c r="L365" s="407">
        <f>SUMIF('Mix Substation Location Summary'!$B$4:$B$107,B365,'Mix Substation Location Summary'!$H$4:$H$107)+SUMIF('Mix Substation Location Summary'!$B$4:$B$107,B365,'Mix Substation Location Summary'!$I$4:$I$107)</f>
        <v>287626.740812134</v>
      </c>
      <c r="M365" s="407">
        <f>SUMIF('Mix Substation Location Summary'!$B$4:$B$107,B365,'Mix Substation Location Summary'!$L$4:$L$107)+SUMIF('Mix Substation Location Summary'!$B$4:$B$107,B365,'Mix Substation Location Summary'!$M$4:$M$107)</f>
        <v>11028802.998997333</v>
      </c>
      <c r="N365" s="398" t="s">
        <v>1482</v>
      </c>
      <c r="O365" s="398" t="s">
        <v>1723</v>
      </c>
      <c r="P365" s="403">
        <f>SUMIF('Antelope Bailey Split BA'!$B$7:$B$29,B365,'Antelope Bailey Split BA'!$C$7:$C$29)</f>
        <v>0</v>
      </c>
      <c r="Q365" s="403" t="str">
        <f>IF(AND(P365=1,'Plant Total by Account'!$H$1=2),"EKWRA","")</f>
        <v/>
      </c>
      <c r="S365" s="403">
        <f>SUMIF('ISO w_System Splits'!$D$524:$D$615,B365,'ISO w_System Splits'!$P$524:$P$615)</f>
        <v>0</v>
      </c>
      <c r="T365" s="403" t="str">
        <f>IF(AND(S365&lt;&gt;0,'Plant Total by Account'!$H$1=2),"EKWRA TL Change","")</f>
        <v/>
      </c>
      <c r="V365" s="387" t="s">
        <v>1384</v>
      </c>
      <c r="W365" s="404">
        <f t="shared" si="27"/>
        <v>0</v>
      </c>
    </row>
    <row r="366" spans="1:23" ht="12.75" customHeight="1" x14ac:dyDescent="0.2">
      <c r="A366" s="386" t="s">
        <v>1005</v>
      </c>
      <c r="B366" s="398" t="s">
        <v>1342</v>
      </c>
      <c r="C366" s="398" t="s">
        <v>3330</v>
      </c>
      <c r="D366" s="399">
        <v>134360.20000000001</v>
      </c>
      <c r="E366" s="399">
        <v>6652926.6399999997</v>
      </c>
      <c r="F366" s="399">
        <v>112856441.01000001</v>
      </c>
      <c r="G366" s="524">
        <f t="shared" si="28"/>
        <v>119643727.85000001</v>
      </c>
      <c r="H366" s="406">
        <f>SUMIF('Mix Substation Location Summary'!$B$4:$B$107,B366,'Mix Substation Location Summary'!$C$4:$C$107)</f>
        <v>132175.36224559104</v>
      </c>
      <c r="I366" s="400">
        <f>SUMIF('Mix Substation Location Summary'!$B$4:$B$107,B366,'Mix Substation Location Summary'!$G$4:$G$107)</f>
        <v>6545404.1574478745</v>
      </c>
      <c r="J366" s="407">
        <f>SUMIF('Mix Substation Location Summary'!$B$4:$B$107,B366,'Mix Substation Location Summary'!$K$4:$K$107)</f>
        <v>111020615.84609683</v>
      </c>
      <c r="K366" s="406">
        <f>SUMIF('Mix Substation Location Summary'!$B$4:$B$107,B366,'Mix Substation Location Summary'!$D$4:$D$107)+SUMIF('Mix Substation Location Summary'!$B$4:$B$107,B366,'Mix Substation Location Summary'!$E$4:$E$107)</f>
        <v>2184.837754408954</v>
      </c>
      <c r="L366" s="407">
        <f>SUMIF('Mix Substation Location Summary'!$B$4:$B$107,B366,'Mix Substation Location Summary'!$H$4:$H$107)+SUMIF('Mix Substation Location Summary'!$B$4:$B$107,B366,'Mix Substation Location Summary'!$I$4:$I$107)</f>
        <v>107522.48255212441</v>
      </c>
      <c r="M366" s="407">
        <f>SUMIF('Mix Substation Location Summary'!$B$4:$B$107,B366,'Mix Substation Location Summary'!$L$4:$L$107)+SUMIF('Mix Substation Location Summary'!$B$4:$B$107,B366,'Mix Substation Location Summary'!$M$4:$M$107)</f>
        <v>1835825.1639031512</v>
      </c>
      <c r="N366" s="398" t="s">
        <v>1482</v>
      </c>
      <c r="O366" s="398" t="s">
        <v>1476</v>
      </c>
      <c r="P366" s="403">
        <f>SUMIF('Antelope Bailey Split BA'!$B$7:$B$29,B366,'Antelope Bailey Split BA'!$C$7:$C$29)</f>
        <v>0</v>
      </c>
      <c r="Q366" s="403" t="str">
        <f>IF(AND(P366=1,'Plant Total by Account'!$H$1=2),"EKWRA","")</f>
        <v/>
      </c>
      <c r="S366" s="403">
        <f>SUMIF('ISO w_System Splits'!$D$524:$D$615,B366,'ISO w_System Splits'!$P$524:$P$615)</f>
        <v>0</v>
      </c>
      <c r="T366" s="403" t="str">
        <f>IF(AND(S366&lt;&gt;0,'Plant Total by Account'!$H$1=2),"EKWRA TL Change","")</f>
        <v/>
      </c>
      <c r="V366" s="387" t="s">
        <v>1342</v>
      </c>
      <c r="W366" s="404">
        <f t="shared" si="27"/>
        <v>7.1304384618997574E-10</v>
      </c>
    </row>
    <row r="367" spans="1:23" ht="12.75" customHeight="1" x14ac:dyDescent="0.2">
      <c r="A367" s="386" t="s">
        <v>894</v>
      </c>
      <c r="B367" s="398" t="s">
        <v>1401</v>
      </c>
      <c r="C367" s="398" t="s">
        <v>3330</v>
      </c>
      <c r="D367" s="399">
        <v>314770.49999999994</v>
      </c>
      <c r="E367" s="399">
        <v>34639546.779999994</v>
      </c>
      <c r="F367" s="399">
        <v>170823495.38999981</v>
      </c>
      <c r="G367" s="524">
        <f t="shared" si="28"/>
        <v>205777812.66999981</v>
      </c>
      <c r="H367" s="406">
        <f>SUMIF('Mix Substation Location Summary'!$B$4:$B$107,B367,'Mix Substation Location Summary'!$C$4:$C$107)</f>
        <v>159283.17476894686</v>
      </c>
      <c r="I367" s="400">
        <f>SUMIF('Mix Substation Location Summary'!$B$4:$B$107,B367,'Mix Substation Location Summary'!$G$4:$G$107)</f>
        <v>22182376.771513332</v>
      </c>
      <c r="J367" s="407">
        <f>SUMIF('Mix Substation Location Summary'!$B$4:$B$107,B367,'Mix Substation Location Summary'!$K$4:$K$107)</f>
        <v>83169041.551748604</v>
      </c>
      <c r="K367" s="406">
        <f>SUMIF('Mix Substation Location Summary'!$B$4:$B$107,B367,'Mix Substation Location Summary'!$D$4:$D$107)+SUMIF('Mix Substation Location Summary'!$B$4:$B$107,B367,'Mix Substation Location Summary'!$E$4:$E$107)</f>
        <v>155487.32523105308</v>
      </c>
      <c r="L367" s="407">
        <f>SUMIF('Mix Substation Location Summary'!$B$4:$B$107,B367,'Mix Substation Location Summary'!$H$4:$H$107)+SUMIF('Mix Substation Location Summary'!$B$4:$B$107,B367,'Mix Substation Location Summary'!$I$4:$I$107)</f>
        <v>12457170.00848667</v>
      </c>
      <c r="M367" s="407">
        <f>SUMIF('Mix Substation Location Summary'!$B$4:$B$107,B367,'Mix Substation Location Summary'!$L$4:$L$107)+SUMIF('Mix Substation Location Summary'!$B$4:$B$107,B367,'Mix Substation Location Summary'!$M$4:$M$107)</f>
        <v>87654453.838251442</v>
      </c>
      <c r="N367" s="398" t="s">
        <v>1482</v>
      </c>
      <c r="O367" s="398" t="s">
        <v>1476</v>
      </c>
      <c r="P367" s="403">
        <f>SUMIF('Antelope Bailey Split BA'!$B$7:$B$29,B367,'Antelope Bailey Split BA'!$C$7:$C$29)</f>
        <v>0</v>
      </c>
      <c r="Q367" s="403" t="str">
        <f>IF(AND(P367=1,'Plant Total by Account'!$H$1=2),"EKWRA","")</f>
        <v/>
      </c>
      <c r="S367" s="403">
        <f>SUMIF('ISO w_System Splits'!$D$524:$D$615,B367,'ISO w_System Splits'!$P$524:$P$615)</f>
        <v>0</v>
      </c>
      <c r="T367" s="403" t="str">
        <f>IF(AND(S367&lt;&gt;0,'Plant Total by Account'!$H$1=2),"EKWRA TL Change","")</f>
        <v/>
      </c>
      <c r="V367" s="387" t="s">
        <v>1401</v>
      </c>
      <c r="W367" s="404">
        <f t="shared" si="27"/>
        <v>0</v>
      </c>
    </row>
    <row r="368" spans="1:23" ht="12.75" customHeight="1" x14ac:dyDescent="0.2">
      <c r="A368" s="386" t="s">
        <v>135</v>
      </c>
      <c r="B368" s="398" t="s">
        <v>1431</v>
      </c>
      <c r="C368" s="398" t="s">
        <v>3331</v>
      </c>
      <c r="D368" s="399">
        <v>0</v>
      </c>
      <c r="E368" s="399">
        <v>3441216.5999999996</v>
      </c>
      <c r="F368" s="399">
        <v>18545011.089999992</v>
      </c>
      <c r="G368" s="524">
        <f t="shared" si="28"/>
        <v>21986227.68999999</v>
      </c>
      <c r="H368" s="406">
        <f>SUMIF('Mix Substation Location Summary'!$B$4:$B$107,RIGHT(B368,4),'Mix Substation Location Summary'!$C$4:$C$107)</f>
        <v>0</v>
      </c>
      <c r="I368" s="407">
        <f>SUMIF('Mix Substation Location Summary'!$B$4:$B$107,RIGHT(B368,4),'Mix Substation Location Summary'!$G$4:$G$107)</f>
        <v>1973284.0388846942</v>
      </c>
      <c r="J368" s="407">
        <f>SUMIF('Mix Substation Location Summary'!$B$4:$B$107,RIGHT(B368,4),'Mix Substation Location Summary'!$K$4:$K$107)</f>
        <v>10632542.284144025</v>
      </c>
      <c r="K368" s="406">
        <f>SUMIF('Mix Substation Location Summary'!$B$4:$B$107,RIGHT(B368,4),'Mix Substation Location Summary'!$D$4:$D$107)+SUMIF('Mix Substation Location Summary'!$B$4:$B$107,RIGHT(B368,4),'Mix Substation Location Summary'!$E$4:$E$107)</f>
        <v>0</v>
      </c>
      <c r="L368" s="407">
        <f>SUMIF('Mix Substation Location Summary'!$B$4:$B$107,RIGHT(B368,4),'Mix Substation Location Summary'!$H$4:$H$107)+SUMIF('Mix Substation Location Summary'!$B$4:$B$107,RIGHT(B368,4),'Mix Substation Location Summary'!$I$4:$I$107)</f>
        <v>1467932.5611153066</v>
      </c>
      <c r="M368" s="407">
        <f>SUMIF('Mix Substation Location Summary'!$B$4:$B$107,RIGHT(B368,4),'Mix Substation Location Summary'!$L$4:$L$107)+SUMIF('Mix Substation Location Summary'!$B$4:$B$107,RIGHT(B368,4),'Mix Substation Location Summary'!$M$4:$M$107)</f>
        <v>7912468.8058559708</v>
      </c>
      <c r="N368" s="398" t="s">
        <v>1482</v>
      </c>
      <c r="O368" s="398" t="s">
        <v>1476</v>
      </c>
      <c r="P368" s="403">
        <f>SUMIF('Antelope Bailey Split BA'!$B$7:$B$29,B368,'Antelope Bailey Split BA'!$C$7:$C$29)</f>
        <v>0</v>
      </c>
      <c r="Q368" s="403" t="str">
        <f>IF(AND(P368=1,'Plant Total by Account'!$H$1=2),"EKWRA","")</f>
        <v/>
      </c>
      <c r="S368" s="403">
        <f>SUMIF('ISO w_System Splits'!$D$524:$D$615,B368,'ISO w_System Splits'!$P$524:$P$615)</f>
        <v>0</v>
      </c>
      <c r="T368" s="403" t="str">
        <f>IF(AND(S368&lt;&gt;0,'Plant Total by Account'!$H$1=2),"EKWRA TL Change","")</f>
        <v/>
      </c>
      <c r="V368" s="387" t="s">
        <v>1431</v>
      </c>
      <c r="W368" s="404">
        <f t="shared" si="27"/>
        <v>0</v>
      </c>
    </row>
    <row r="369" spans="1:23" ht="12.75" customHeight="1" x14ac:dyDescent="0.2">
      <c r="A369" s="386" t="s">
        <v>892</v>
      </c>
      <c r="B369" s="398" t="s">
        <v>1367</v>
      </c>
      <c r="C369" s="398" t="s">
        <v>3329</v>
      </c>
      <c r="D369" s="399">
        <v>302392.48000000004</v>
      </c>
      <c r="E369" s="399">
        <v>3850233.7500000009</v>
      </c>
      <c r="F369" s="399">
        <v>35797855.999999993</v>
      </c>
      <c r="G369" s="524">
        <f t="shared" si="28"/>
        <v>39950482.229999997</v>
      </c>
      <c r="H369" s="406">
        <f>SUMIF('Mix Substation Location Summary'!$B$4:$B$107,B369,'Mix Substation Location Summary'!$C$4:$C$107)</f>
        <v>56156.869904803141</v>
      </c>
      <c r="I369" s="400">
        <f>SUMIF('Mix Substation Location Summary'!$B$4:$B$107,B369,'Mix Substation Location Summary'!$G$4:$G$107)</f>
        <v>445194.20687961578</v>
      </c>
      <c r="J369" s="407">
        <f>SUMIF('Mix Substation Location Summary'!$B$4:$B$107,B369,'Mix Substation Location Summary'!$K$4:$K$107)</f>
        <v>7035987.3716432899</v>
      </c>
      <c r="K369" s="406">
        <f>SUMIF('Mix Substation Location Summary'!$B$4:$B$107,B369,'Mix Substation Location Summary'!$D$4:$D$107)+SUMIF('Mix Substation Location Summary'!$B$4:$B$107,B369,'Mix Substation Location Summary'!$E$4:$E$107)</f>
        <v>246235.6100951969</v>
      </c>
      <c r="L369" s="407">
        <f>SUMIF('Mix Substation Location Summary'!$B$4:$B$107,B369,'Mix Substation Location Summary'!$H$4:$H$107)+SUMIF('Mix Substation Location Summary'!$B$4:$B$107,B369,'Mix Substation Location Summary'!$I$4:$I$107)</f>
        <v>3405039.5431203847</v>
      </c>
      <c r="M369" s="407">
        <f>SUMIF('Mix Substation Location Summary'!$B$4:$B$107,B369,'Mix Substation Location Summary'!$L$4:$L$107)+SUMIF('Mix Substation Location Summary'!$B$4:$B$107,B369,'Mix Substation Location Summary'!$M$4:$M$107)</f>
        <v>28761868.628356703</v>
      </c>
      <c r="N369" s="398" t="s">
        <v>1482</v>
      </c>
      <c r="O369" s="415" t="s">
        <v>1477</v>
      </c>
      <c r="P369" s="403">
        <f>SUMIF('Antelope Bailey Split BA'!$B$7:$B$29,B369,'Antelope Bailey Split BA'!$C$7:$C$29)</f>
        <v>0</v>
      </c>
      <c r="Q369" s="403" t="str">
        <f>IF(AND(P369=1,'Plant Total by Account'!$H$1=2),"EKWRA","")</f>
        <v/>
      </c>
      <c r="S369" s="403">
        <f>SUMIF('ISO w_System Splits'!$D$524:$D$615,B369,'ISO w_System Splits'!$P$524:$P$615)</f>
        <v>0</v>
      </c>
      <c r="T369" s="403" t="str">
        <f>IF(AND(S369&lt;&gt;0,'Plant Total by Account'!$H$1=2),"EKWRA TL Change","")</f>
        <v/>
      </c>
      <c r="V369" s="387" t="s">
        <v>1367</v>
      </c>
      <c r="W369" s="404">
        <f t="shared" si="27"/>
        <v>0</v>
      </c>
    </row>
    <row r="370" spans="1:23" ht="12.75" customHeight="1" x14ac:dyDescent="0.2">
      <c r="A370" s="386" t="s">
        <v>2305</v>
      </c>
      <c r="B370" s="398" t="s">
        <v>1082</v>
      </c>
      <c r="C370" s="398" t="s">
        <v>3330</v>
      </c>
      <c r="D370" s="399">
        <v>2910822.12</v>
      </c>
      <c r="E370" s="399">
        <v>0</v>
      </c>
      <c r="F370" s="399">
        <v>27104.880000000001</v>
      </c>
      <c r="G370" s="524">
        <f t="shared" si="28"/>
        <v>2937927</v>
      </c>
      <c r="H370" s="400">
        <f>SUMIF('Trans Line Reconciliation'!$B$5:$B$84,$B370,'Trans Line Reconciliation'!$M$5:$M$84)</f>
        <v>2910822.12</v>
      </c>
      <c r="I370" s="417">
        <f>SUMIF('Trans Line Reconciliation'!$B$5:$B$84,$B370,'Trans Line Reconciliation'!$N$5:$N$84)</f>
        <v>0</v>
      </c>
      <c r="J370" s="417">
        <f>SUMIF('Trans Line Reconciliation'!$B$5:$B$84,$B370,'Trans Line Reconciliation'!$O$5:$O$84)</f>
        <v>27104.880000000001</v>
      </c>
      <c r="K370" s="400">
        <f>SUMIF('Trans Line Reconciliation'!$B$5:$B$84,$B370,'Trans Line Reconciliation'!$P$5:$P$84)</f>
        <v>0</v>
      </c>
      <c r="L370" s="417">
        <f>SUMIF('Trans Line Reconciliation'!$B$5:$B$84,$B370,'Trans Line Reconciliation'!$Q$5:$Q$84)</f>
        <v>0</v>
      </c>
      <c r="M370" s="417">
        <f>SUMIF('Trans Line Reconciliation'!$B$5:$B$84,$B370,'Trans Line Reconciliation'!$R$5:$R$84)</f>
        <v>0</v>
      </c>
      <c r="N370" s="398" t="s">
        <v>2248</v>
      </c>
      <c r="O370" s="398"/>
      <c r="P370" s="403">
        <f>SUMIF('Antelope Bailey Split BA'!$B$7:$B$29,B370,'Antelope Bailey Split BA'!$C$7:$C$29)</f>
        <v>0</v>
      </c>
      <c r="Q370" s="403" t="str">
        <f>IF(AND(P370=1,'Plant Total by Account'!$H$1=2),"EKWRA","")</f>
        <v/>
      </c>
      <c r="S370" s="403">
        <f>SUMIF('ISO w_System Splits'!$D$524:$D$615,B370,'ISO w_System Splits'!$P$524:$P$615)</f>
        <v>0</v>
      </c>
      <c r="T370" s="403" t="str">
        <f>IF(AND(S370&lt;&gt;0,'Plant Total by Account'!$H$1=2),"EKWRA TL Change","")</f>
        <v/>
      </c>
      <c r="V370" s="77">
        <v>4026</v>
      </c>
      <c r="W370" s="404">
        <f t="shared" si="27"/>
        <v>0</v>
      </c>
    </row>
    <row r="371" spans="1:23" ht="12.75" customHeight="1" x14ac:dyDescent="0.2">
      <c r="A371" s="386" t="s">
        <v>2306</v>
      </c>
      <c r="B371" s="398" t="s">
        <v>1083</v>
      </c>
      <c r="C371" s="398" t="s">
        <v>3332</v>
      </c>
      <c r="D371" s="399">
        <v>0</v>
      </c>
      <c r="E371" s="399">
        <v>95840.85</v>
      </c>
      <c r="F371" s="399">
        <v>0</v>
      </c>
      <c r="G371" s="524">
        <f t="shared" si="28"/>
        <v>95840.85</v>
      </c>
      <c r="H371" s="400">
        <f>SUMIF('Trans Line Reconciliation'!$B$5:$B$84,$B371,'Trans Line Reconciliation'!$M$5:$M$84)</f>
        <v>0</v>
      </c>
      <c r="I371" s="417">
        <f>SUMIF('Trans Line Reconciliation'!$B$5:$B$84,$B371,'Trans Line Reconciliation'!$N$5:$N$84)</f>
        <v>95840.85</v>
      </c>
      <c r="J371" s="417">
        <f>SUMIF('Trans Line Reconciliation'!$B$5:$B$84,$B371,'Trans Line Reconciliation'!$O$5:$O$84)</f>
        <v>0</v>
      </c>
      <c r="K371" s="400">
        <f>SUMIF('Trans Line Reconciliation'!$B$5:$B$84,$B371,'Trans Line Reconciliation'!$P$5:$P$84)</f>
        <v>0</v>
      </c>
      <c r="L371" s="417">
        <f>SUMIF('Trans Line Reconciliation'!$B$5:$B$84,$B371,'Trans Line Reconciliation'!$Q$5:$Q$84)</f>
        <v>0</v>
      </c>
      <c r="M371" s="417">
        <f>SUMIF('Trans Line Reconciliation'!$B$5:$B$84,$B371,'Trans Line Reconciliation'!$R$5:$R$84)</f>
        <v>0</v>
      </c>
      <c r="N371" s="398" t="s">
        <v>2248</v>
      </c>
      <c r="O371" s="398"/>
      <c r="P371" s="403">
        <f>SUMIF('Antelope Bailey Split BA'!$B$7:$B$29,B371,'Antelope Bailey Split BA'!$C$7:$C$29)</f>
        <v>0</v>
      </c>
      <c r="Q371" s="403" t="str">
        <f>IF(AND(P371=1,'Plant Total by Account'!$H$1=2),"EKWRA","")</f>
        <v/>
      </c>
      <c r="S371" s="403">
        <f>SUMIF('ISO w_System Splits'!$D$524:$D$615,B371,'ISO w_System Splits'!$P$524:$P$615)</f>
        <v>0</v>
      </c>
      <c r="T371" s="403" t="str">
        <f>IF(AND(S371&lt;&gt;0,'Plant Total by Account'!$H$1=2),"EKWRA TL Change","")</f>
        <v/>
      </c>
      <c r="V371" s="77">
        <v>4031</v>
      </c>
      <c r="W371" s="404">
        <f t="shared" si="27"/>
        <v>0</v>
      </c>
    </row>
    <row r="372" spans="1:23" ht="12.75" customHeight="1" x14ac:dyDescent="0.2">
      <c r="A372" s="386" t="s">
        <v>2306</v>
      </c>
      <c r="B372" s="398" t="s">
        <v>1084</v>
      </c>
      <c r="C372" s="398" t="s">
        <v>3332</v>
      </c>
      <c r="D372" s="399">
        <v>0</v>
      </c>
      <c r="E372" s="399">
        <v>540.83000000000004</v>
      </c>
      <c r="F372" s="399">
        <v>0</v>
      </c>
      <c r="G372" s="524">
        <f t="shared" si="28"/>
        <v>540.83000000000004</v>
      </c>
      <c r="H372" s="400">
        <f>SUMIF('Trans Line Reconciliation'!$B$5:$B$84,$B372,'Trans Line Reconciliation'!$M$5:$M$84)</f>
        <v>0</v>
      </c>
      <c r="I372" s="417">
        <f>SUMIF('Trans Line Reconciliation'!$B$5:$B$84,$B372,'Trans Line Reconciliation'!$N$5:$N$84)</f>
        <v>540.83000000000004</v>
      </c>
      <c r="J372" s="417">
        <f>SUMIF('Trans Line Reconciliation'!$B$5:$B$84,$B372,'Trans Line Reconciliation'!$O$5:$O$84)</f>
        <v>0</v>
      </c>
      <c r="K372" s="400">
        <f>SUMIF('Trans Line Reconciliation'!$B$5:$B$84,$B372,'Trans Line Reconciliation'!$P$5:$P$84)</f>
        <v>0</v>
      </c>
      <c r="L372" s="417">
        <f>SUMIF('Trans Line Reconciliation'!$B$5:$B$84,$B372,'Trans Line Reconciliation'!$Q$5:$Q$84)</f>
        <v>0</v>
      </c>
      <c r="M372" s="417">
        <f>SUMIF('Trans Line Reconciliation'!$B$5:$B$84,$B372,'Trans Line Reconciliation'!$R$5:$R$84)</f>
        <v>0</v>
      </c>
      <c r="N372" s="398" t="s">
        <v>2248</v>
      </c>
      <c r="O372" s="398"/>
      <c r="P372" s="403">
        <f>SUMIF('Antelope Bailey Split BA'!$B$7:$B$29,B372,'Antelope Bailey Split BA'!$C$7:$C$29)</f>
        <v>0</v>
      </c>
      <c r="Q372" s="403" t="str">
        <f>IF(AND(P372=1,'Plant Total by Account'!$H$1=2),"EKWRA","")</f>
        <v/>
      </c>
      <c r="S372" s="403">
        <f>SUMIF('ISO w_System Splits'!$D$524:$D$615,B372,'ISO w_System Splits'!$P$524:$P$615)</f>
        <v>0</v>
      </c>
      <c r="T372" s="403" t="str">
        <f>IF(AND(S372&lt;&gt;0,'Plant Total by Account'!$H$1=2),"EKWRA TL Change","")</f>
        <v/>
      </c>
      <c r="V372" s="77">
        <v>4034</v>
      </c>
      <c r="W372" s="404">
        <f t="shared" si="27"/>
        <v>0</v>
      </c>
    </row>
    <row r="373" spans="1:23" ht="12.75" customHeight="1" x14ac:dyDescent="0.2">
      <c r="A373" s="386" t="s">
        <v>1315</v>
      </c>
      <c r="B373" s="398" t="s">
        <v>2184</v>
      </c>
      <c r="C373" s="398"/>
      <c r="D373" s="399">
        <v>179131.19</v>
      </c>
      <c r="E373" s="399">
        <v>0</v>
      </c>
      <c r="F373" s="399">
        <v>0</v>
      </c>
      <c r="G373" s="524">
        <f t="shared" si="28"/>
        <v>179131.19</v>
      </c>
      <c r="H373" s="400">
        <f>SUMIF('Trans Line Reconciliation'!$B$5:$B$84,$B373,'Trans Line Reconciliation'!$M$5:$M$84)</f>
        <v>179131.18999999997</v>
      </c>
      <c r="I373" s="417">
        <f>SUMIF('Trans Line Reconciliation'!$B$5:$B$84,$B373,'Trans Line Reconciliation'!$N$5:$N$84)</f>
        <v>0</v>
      </c>
      <c r="J373" s="417">
        <f>SUMIF('Trans Line Reconciliation'!$B$5:$B$84,$B373,'Trans Line Reconciliation'!$O$5:$O$84)</f>
        <v>0</v>
      </c>
      <c r="K373" s="400">
        <f>SUMIF('Trans Line Reconciliation'!$B$5:$B$84,$B373,'Trans Line Reconciliation'!$P$5:$P$84)</f>
        <v>0</v>
      </c>
      <c r="L373" s="417">
        <f>SUMIF('Trans Line Reconciliation'!$B$5:$B$84,$B373,'Trans Line Reconciliation'!$Q$5:$Q$84)</f>
        <v>0</v>
      </c>
      <c r="M373" s="417">
        <f>SUMIF('Trans Line Reconciliation'!$B$5:$B$84,$B373,'Trans Line Reconciliation'!$R$5:$R$84)</f>
        <v>0</v>
      </c>
      <c r="N373" s="398" t="s">
        <v>2248</v>
      </c>
      <c r="O373" s="398"/>
      <c r="P373" s="403">
        <f>SUMIF('Antelope Bailey Split BA'!$B$7:$B$29,B373,'Antelope Bailey Split BA'!$C$7:$C$29)</f>
        <v>0</v>
      </c>
      <c r="Q373" s="403" t="str">
        <f>IF(AND(P373=1,'Plant Total by Account'!$H$1=2),"EKWRA","")</f>
        <v/>
      </c>
      <c r="S373" s="403">
        <f>SUMIF('ISO w_System Splits'!$D$524:$D$615,B373,'ISO w_System Splits'!$P$524:$P$615)</f>
        <v>0</v>
      </c>
      <c r="T373" s="403" t="str">
        <f>IF(AND(S373&lt;&gt;0,'Plant Total by Account'!$H$1=2),"EKWRA TL Change","")</f>
        <v/>
      </c>
      <c r="V373" s="77">
        <v>4045</v>
      </c>
      <c r="W373" s="404">
        <f t="shared" si="27"/>
        <v>0</v>
      </c>
    </row>
    <row r="374" spans="1:23" ht="12.75" customHeight="1" x14ac:dyDescent="0.2">
      <c r="A374" s="386" t="s">
        <v>1316</v>
      </c>
      <c r="B374" s="398" t="s">
        <v>2185</v>
      </c>
      <c r="C374" s="398" t="s">
        <v>3331</v>
      </c>
      <c r="D374" s="399">
        <v>186657</v>
      </c>
      <c r="E374" s="399">
        <v>0</v>
      </c>
      <c r="F374" s="399">
        <v>0</v>
      </c>
      <c r="G374" s="524">
        <f t="shared" si="28"/>
        <v>186657</v>
      </c>
      <c r="H374" s="400">
        <f>SUMIF('Trans Line Reconciliation'!$B$5:$B$84,$B374,'Trans Line Reconciliation'!$M$5:$M$84)</f>
        <v>186657</v>
      </c>
      <c r="I374" s="417">
        <f>SUMIF('Trans Line Reconciliation'!$B$5:$B$84,$B374,'Trans Line Reconciliation'!$N$5:$N$84)</f>
        <v>0</v>
      </c>
      <c r="J374" s="417">
        <f>SUMIF('Trans Line Reconciliation'!$B$5:$B$84,$B374,'Trans Line Reconciliation'!$O$5:$O$84)</f>
        <v>0</v>
      </c>
      <c r="K374" s="400">
        <f>SUMIF('Trans Line Reconciliation'!$B$5:$B$84,$B374,'Trans Line Reconciliation'!$P$5:$P$84)</f>
        <v>0</v>
      </c>
      <c r="L374" s="417">
        <f>SUMIF('Trans Line Reconciliation'!$B$5:$B$84,$B374,'Trans Line Reconciliation'!$Q$5:$Q$84)</f>
        <v>0</v>
      </c>
      <c r="M374" s="417">
        <f>SUMIF('Trans Line Reconciliation'!$B$5:$B$84,$B374,'Trans Line Reconciliation'!$R$5:$R$84)</f>
        <v>0</v>
      </c>
      <c r="N374" s="398" t="s">
        <v>2248</v>
      </c>
      <c r="O374" s="398"/>
      <c r="P374" s="403">
        <f>SUMIF('Antelope Bailey Split BA'!$B$7:$B$29,B374,'Antelope Bailey Split BA'!$C$7:$C$29)</f>
        <v>0</v>
      </c>
      <c r="Q374" s="403" t="str">
        <f>IF(AND(P374=1,'Plant Total by Account'!$H$1=2),"EKWRA","")</f>
        <v/>
      </c>
      <c r="S374" s="403">
        <f>SUMIF('ISO w_System Splits'!$D$524:$D$615,B374,'ISO w_System Splits'!$P$524:$P$615)</f>
        <v>0</v>
      </c>
      <c r="T374" s="403" t="str">
        <f>IF(AND(S374&lt;&gt;0,'Plant Total by Account'!$H$1=2),"EKWRA TL Change","")</f>
        <v/>
      </c>
      <c r="V374" s="77">
        <v>4046</v>
      </c>
      <c r="W374" s="404">
        <f t="shared" si="27"/>
        <v>0</v>
      </c>
    </row>
    <row r="375" spans="1:23" ht="12.75" customHeight="1" x14ac:dyDescent="0.2">
      <c r="A375" s="386" t="s">
        <v>1317</v>
      </c>
      <c r="B375" s="398" t="s">
        <v>2186</v>
      </c>
      <c r="C375" s="398" t="s">
        <v>3331</v>
      </c>
      <c r="D375" s="399">
        <v>13001.630000000001</v>
      </c>
      <c r="E375" s="399">
        <v>0</v>
      </c>
      <c r="F375" s="399">
        <v>0</v>
      </c>
      <c r="G375" s="524">
        <f t="shared" si="28"/>
        <v>13001.630000000001</v>
      </c>
      <c r="H375" s="400">
        <f>SUMIF('Trans Line Reconciliation'!$B$5:$B$84,$B375,'Trans Line Reconciliation'!$M$5:$M$84)</f>
        <v>13001.63</v>
      </c>
      <c r="I375" s="417">
        <f>SUMIF('Trans Line Reconciliation'!$B$5:$B$84,$B375,'Trans Line Reconciliation'!$N$5:$N$84)</f>
        <v>0</v>
      </c>
      <c r="J375" s="417">
        <f>SUMIF('Trans Line Reconciliation'!$B$5:$B$84,$B375,'Trans Line Reconciliation'!$O$5:$O$84)</f>
        <v>0</v>
      </c>
      <c r="K375" s="400">
        <f>SUMIF('Trans Line Reconciliation'!$B$5:$B$84,$B375,'Trans Line Reconciliation'!$P$5:$P$84)</f>
        <v>0</v>
      </c>
      <c r="L375" s="417">
        <f>SUMIF('Trans Line Reconciliation'!$B$5:$B$84,$B375,'Trans Line Reconciliation'!$Q$5:$Q$84)</f>
        <v>0</v>
      </c>
      <c r="M375" s="417">
        <f>SUMIF('Trans Line Reconciliation'!$B$5:$B$84,$B375,'Trans Line Reconciliation'!$R$5:$R$84)</f>
        <v>0</v>
      </c>
      <c r="N375" s="398" t="s">
        <v>2248</v>
      </c>
      <c r="O375" s="398"/>
      <c r="P375" s="403">
        <f>SUMIF('Antelope Bailey Split BA'!$B$7:$B$29,B375,'Antelope Bailey Split BA'!$C$7:$C$29)</f>
        <v>0</v>
      </c>
      <c r="Q375" s="403" t="str">
        <f>IF(AND(P375=1,'Plant Total by Account'!$H$1=2),"EKWRA","")</f>
        <v/>
      </c>
      <c r="S375" s="403">
        <f>SUMIF('ISO w_System Splits'!$D$524:$D$615,B375,'ISO w_System Splits'!$P$524:$P$615)</f>
        <v>0</v>
      </c>
      <c r="T375" s="403" t="str">
        <f>IF(AND(S375&lt;&gt;0,'Plant Total by Account'!$H$1=2),"EKWRA TL Change","")</f>
        <v/>
      </c>
      <c r="V375" s="77">
        <v>4059</v>
      </c>
      <c r="W375" s="404">
        <f t="shared" si="27"/>
        <v>0</v>
      </c>
    </row>
    <row r="376" spans="1:23" ht="12.75" customHeight="1" x14ac:dyDescent="0.2">
      <c r="A376" s="386" t="s">
        <v>1318</v>
      </c>
      <c r="B376" s="398" t="s">
        <v>2187</v>
      </c>
      <c r="C376" s="398" t="s">
        <v>3331</v>
      </c>
      <c r="D376" s="399">
        <v>61040.14</v>
      </c>
      <c r="E376" s="399">
        <v>0</v>
      </c>
      <c r="F376" s="399">
        <v>0</v>
      </c>
      <c r="G376" s="524">
        <f t="shared" si="28"/>
        <v>61040.14</v>
      </c>
      <c r="H376" s="400">
        <f>SUMIF('Trans Line Reconciliation'!$B$5:$B$84,$B376,'Trans Line Reconciliation'!$M$5:$M$84)</f>
        <v>61040.14</v>
      </c>
      <c r="I376" s="417">
        <f>SUMIF('Trans Line Reconciliation'!$B$5:$B$84,$B376,'Trans Line Reconciliation'!$N$5:$N$84)</f>
        <v>0</v>
      </c>
      <c r="J376" s="417">
        <f>SUMIF('Trans Line Reconciliation'!$B$5:$B$84,$B376,'Trans Line Reconciliation'!$O$5:$O$84)</f>
        <v>0</v>
      </c>
      <c r="K376" s="400">
        <f>SUMIF('Trans Line Reconciliation'!$B$5:$B$84,$B376,'Trans Line Reconciliation'!$P$5:$P$84)</f>
        <v>0</v>
      </c>
      <c r="L376" s="417">
        <f>SUMIF('Trans Line Reconciliation'!$B$5:$B$84,$B376,'Trans Line Reconciliation'!$Q$5:$Q$84)</f>
        <v>0</v>
      </c>
      <c r="M376" s="417">
        <f>SUMIF('Trans Line Reconciliation'!$B$5:$B$84,$B376,'Trans Line Reconciliation'!$R$5:$R$84)</f>
        <v>0</v>
      </c>
      <c r="N376" s="398" t="s">
        <v>2248</v>
      </c>
      <c r="O376" s="398"/>
      <c r="P376" s="403">
        <f>SUMIF('Antelope Bailey Split BA'!$B$7:$B$29,B376,'Antelope Bailey Split BA'!$C$7:$C$29)</f>
        <v>0</v>
      </c>
      <c r="Q376" s="403" t="str">
        <f>IF(AND(P376=1,'Plant Total by Account'!$H$1=2),"EKWRA","")</f>
        <v/>
      </c>
      <c r="S376" s="403">
        <f>SUMIF('ISO w_System Splits'!$D$524:$D$615,B376,'ISO w_System Splits'!$P$524:$P$615)</f>
        <v>0</v>
      </c>
      <c r="T376" s="403" t="str">
        <f>IF(AND(S376&lt;&gt;0,'Plant Total by Account'!$H$1=2),"EKWRA TL Change","")</f>
        <v/>
      </c>
      <c r="V376" s="77">
        <v>4070</v>
      </c>
      <c r="W376" s="404">
        <f t="shared" si="27"/>
        <v>0</v>
      </c>
    </row>
    <row r="377" spans="1:23" ht="12.75" customHeight="1" x14ac:dyDescent="0.2">
      <c r="A377" s="386" t="s">
        <v>2307</v>
      </c>
      <c r="B377" s="398" t="s">
        <v>1085</v>
      </c>
      <c r="C377" s="398" t="s">
        <v>3331</v>
      </c>
      <c r="D377" s="399">
        <v>1458517.0799999998</v>
      </c>
      <c r="E377" s="399">
        <v>278181.34999999998</v>
      </c>
      <c r="F377" s="399">
        <v>98474.790000000008</v>
      </c>
      <c r="G377" s="524">
        <f t="shared" si="28"/>
        <v>1835173.2199999997</v>
      </c>
      <c r="H377" s="400">
        <f>SUMIF('Trans Line Reconciliation'!$B$5:$B$84,$B377,'Trans Line Reconciliation'!$M$5:$M$84)</f>
        <v>1418562.1815764289</v>
      </c>
      <c r="I377" s="417">
        <f>SUMIF('Trans Line Reconciliation'!$B$5:$B$84,$B377,'Trans Line Reconciliation'!$N$5:$N$84)</f>
        <v>270518.33933738939</v>
      </c>
      <c r="J377" s="417">
        <f>SUMIF('Trans Line Reconciliation'!$B$5:$B$84,$B377,'Trans Line Reconciliation'!$O$5:$O$84)</f>
        <v>95762.123008599126</v>
      </c>
      <c r="K377" s="400">
        <f>SUMIF('Trans Line Reconciliation'!$B$5:$B$84,$B377,'Trans Line Reconciliation'!$P$5:$P$84)</f>
        <v>39954.898423570907</v>
      </c>
      <c r="L377" s="417">
        <f>SUMIF('Trans Line Reconciliation'!$B$5:$B$84,$B377,'Trans Line Reconciliation'!$Q$5:$Q$84)</f>
        <v>7663.0106626105844</v>
      </c>
      <c r="M377" s="417">
        <f>SUMIF('Trans Line Reconciliation'!$B$5:$B$84,$B377,'Trans Line Reconciliation'!$R$5:$R$84)</f>
        <v>2712.6669914008817</v>
      </c>
      <c r="N377" s="398" t="s">
        <v>2248</v>
      </c>
      <c r="O377" s="398"/>
      <c r="P377" s="403">
        <f>SUMIF('Antelope Bailey Split BA'!$B$7:$B$29,B377,'Antelope Bailey Split BA'!$C$7:$C$29)</f>
        <v>0</v>
      </c>
      <c r="Q377" s="403" t="str">
        <f>IF(AND(P377=1,'Plant Total by Account'!$H$1=2),"EKWRA","")</f>
        <v/>
      </c>
      <c r="S377" s="403">
        <f>SUMIF('ISO w_System Splits'!$D$524:$D$615,B377,'ISO w_System Splits'!$P$524:$P$615)</f>
        <v>0</v>
      </c>
      <c r="T377" s="403" t="str">
        <f>IF(AND(S377&lt;&gt;0,'Plant Total by Account'!$H$1=2),"EKWRA TL Change","")</f>
        <v/>
      </c>
      <c r="V377" s="77">
        <v>4101</v>
      </c>
      <c r="W377" s="404">
        <f t="shared" si="27"/>
        <v>0</v>
      </c>
    </row>
    <row r="378" spans="1:23" ht="12.75" customHeight="1" x14ac:dyDescent="0.2">
      <c r="A378" s="386" t="s">
        <v>506</v>
      </c>
      <c r="B378" s="398" t="s">
        <v>2188</v>
      </c>
      <c r="C378" s="398"/>
      <c r="D378" s="399">
        <v>1466127.54</v>
      </c>
      <c r="E378" s="399">
        <v>0</v>
      </c>
      <c r="F378" s="399">
        <v>0</v>
      </c>
      <c r="G378" s="524">
        <f t="shared" si="28"/>
        <v>1466127.54</v>
      </c>
      <c r="H378" s="400">
        <f>SUMIF('Trans Line Reconciliation'!$B$5:$B$84,$B378,'Trans Line Reconciliation'!$M$5:$M$84)</f>
        <v>777708.03908957134</v>
      </c>
      <c r="I378" s="417">
        <f>SUMIF('Trans Line Reconciliation'!$B$5:$B$84,$B378,'Trans Line Reconciliation'!$N$5:$N$84)</f>
        <v>0</v>
      </c>
      <c r="J378" s="417">
        <f>SUMIF('Trans Line Reconciliation'!$B$5:$B$84,$B378,'Trans Line Reconciliation'!$O$5:$O$84)</f>
        <v>0</v>
      </c>
      <c r="K378" s="400">
        <f>SUMIF('Trans Line Reconciliation'!$B$5:$B$84,$B378,'Trans Line Reconciliation'!$P$5:$P$84)</f>
        <v>688419.5009104287</v>
      </c>
      <c r="L378" s="417">
        <f>SUMIF('Trans Line Reconciliation'!$B$5:$B$84,$B378,'Trans Line Reconciliation'!$Q$5:$Q$84)</f>
        <v>0</v>
      </c>
      <c r="M378" s="417">
        <f>SUMIF('Trans Line Reconciliation'!$B$5:$B$84,$B378,'Trans Line Reconciliation'!$R$5:$R$84)</f>
        <v>0</v>
      </c>
      <c r="N378" s="398" t="s">
        <v>2248</v>
      </c>
      <c r="O378" s="398"/>
      <c r="P378" s="403">
        <f>SUMIF('Antelope Bailey Split BA'!$B$7:$B$29,B378,'Antelope Bailey Split BA'!$C$7:$C$29)</f>
        <v>0</v>
      </c>
      <c r="Q378" s="403" t="str">
        <f>IF(AND(P378=1,'Plant Total by Account'!$H$1=2),"EKWRA","")</f>
        <v/>
      </c>
      <c r="S378" s="403">
        <f>SUMIF('ISO w_System Splits'!$D$524:$D$615,B378,'ISO w_System Splits'!$P$524:$P$615)</f>
        <v>0</v>
      </c>
      <c r="T378" s="403" t="str">
        <f>IF(AND(S378&lt;&gt;0,'Plant Total by Account'!$H$1=2),"EKWRA TL Change","")</f>
        <v/>
      </c>
      <c r="V378" s="77">
        <v>4102</v>
      </c>
      <c r="W378" s="404">
        <f t="shared" si="27"/>
        <v>0</v>
      </c>
    </row>
    <row r="379" spans="1:23" ht="12.75" customHeight="1" x14ac:dyDescent="0.2">
      <c r="A379" s="386" t="s">
        <v>507</v>
      </c>
      <c r="B379" s="398" t="s">
        <v>2189</v>
      </c>
      <c r="C379" s="398"/>
      <c r="D379" s="399">
        <v>1331335.1000000001</v>
      </c>
      <c r="E379" s="399">
        <v>0</v>
      </c>
      <c r="F379" s="399">
        <v>0</v>
      </c>
      <c r="G379" s="524">
        <f t="shared" si="28"/>
        <v>1331335.1000000001</v>
      </c>
      <c r="H379" s="400">
        <f>SUMIF('Trans Line Reconciliation'!$B$5:$B$84,$B379,'Trans Line Reconciliation'!$M$5:$M$84)</f>
        <v>1253514.4942617316</v>
      </c>
      <c r="I379" s="417">
        <f>SUMIF('Trans Line Reconciliation'!$B$5:$B$84,$B379,'Trans Line Reconciliation'!$N$5:$N$84)</f>
        <v>0</v>
      </c>
      <c r="J379" s="417">
        <f>SUMIF('Trans Line Reconciliation'!$B$5:$B$84,$B379,'Trans Line Reconciliation'!$O$5:$O$84)</f>
        <v>0</v>
      </c>
      <c r="K379" s="400">
        <f>SUMIF('Trans Line Reconciliation'!$B$5:$B$84,$B379,'Trans Line Reconciliation'!$P$5:$P$84)</f>
        <v>77820.605738268467</v>
      </c>
      <c r="L379" s="417">
        <f>SUMIF('Trans Line Reconciliation'!$B$5:$B$84,$B379,'Trans Line Reconciliation'!$Q$5:$Q$84)</f>
        <v>0</v>
      </c>
      <c r="M379" s="417">
        <f>SUMIF('Trans Line Reconciliation'!$B$5:$B$84,$B379,'Trans Line Reconciliation'!$R$5:$R$84)</f>
        <v>0</v>
      </c>
      <c r="N379" s="398" t="s">
        <v>2248</v>
      </c>
      <c r="O379" s="398"/>
      <c r="P379" s="403">
        <f>SUMIF('Antelope Bailey Split BA'!$B$7:$B$29,B379,'Antelope Bailey Split BA'!$C$7:$C$29)</f>
        <v>0</v>
      </c>
      <c r="Q379" s="403" t="str">
        <f>IF(AND(P379=1,'Plant Total by Account'!$H$1=2),"EKWRA","")</f>
        <v/>
      </c>
      <c r="S379" s="403">
        <f>SUMIF('ISO w_System Splits'!$D$524:$D$615,B379,'ISO w_System Splits'!$P$524:$P$615)</f>
        <v>0</v>
      </c>
      <c r="T379" s="403" t="str">
        <f>IF(AND(S379&lt;&gt;0,'Plant Total by Account'!$H$1=2),"EKWRA TL Change","")</f>
        <v/>
      </c>
      <c r="V379" s="77">
        <v>4104</v>
      </c>
      <c r="W379" s="404">
        <f t="shared" si="27"/>
        <v>0</v>
      </c>
    </row>
    <row r="380" spans="1:23" ht="12.75" customHeight="1" x14ac:dyDescent="0.2">
      <c r="A380" s="386" t="s">
        <v>2308</v>
      </c>
      <c r="B380" s="398" t="s">
        <v>167</v>
      </c>
      <c r="C380" s="398" t="s">
        <v>3334</v>
      </c>
      <c r="D380" s="399">
        <v>31669555.880000006</v>
      </c>
      <c r="E380" s="399">
        <v>307314.38</v>
      </c>
      <c r="F380" s="399">
        <v>1071634.4200000002</v>
      </c>
      <c r="G380" s="524">
        <f t="shared" si="28"/>
        <v>33048504.680000007</v>
      </c>
      <c r="H380" s="400">
        <f>SUMIF('Trans Line Reconciliation'!$B$5:$B$84,$B380,'Trans Line Reconciliation'!$M$5:$M$84)</f>
        <v>3469110.4013464162</v>
      </c>
      <c r="I380" s="417">
        <f>SUMIF('Trans Line Reconciliation'!$B$5:$B$84,$B380,'Trans Line Reconciliation'!$N$5:$N$84)</f>
        <v>122152.85737609216</v>
      </c>
      <c r="J380" s="417">
        <f>SUMIF('Trans Line Reconciliation'!$B$5:$B$84,$B380,'Trans Line Reconciliation'!$O$5:$O$84)</f>
        <v>116166.1450978038</v>
      </c>
      <c r="K380" s="400">
        <f>SUMIF('Trans Line Reconciliation'!$B$5:$B$84,$B380,'Trans Line Reconciliation'!$P$5:$P$84)</f>
        <v>28200445.478653591</v>
      </c>
      <c r="L380" s="417">
        <f>SUMIF('Trans Line Reconciliation'!$B$5:$B$84,$B380,'Trans Line Reconciliation'!$Q$5:$Q$84)</f>
        <v>185161.52262390783</v>
      </c>
      <c r="M380" s="417">
        <f>SUMIF('Trans Line Reconciliation'!$B$5:$B$84,$B380,'Trans Line Reconciliation'!$R$5:$R$84)</f>
        <v>955468.27490219637</v>
      </c>
      <c r="N380" s="398" t="s">
        <v>2248</v>
      </c>
      <c r="O380" s="398"/>
      <c r="P380" s="403">
        <f>SUMIF('Antelope Bailey Split BA'!$B$7:$B$29,B380,'Antelope Bailey Split BA'!$C$7:$C$29)</f>
        <v>0</v>
      </c>
      <c r="Q380" s="403" t="str">
        <f>IF(AND(P380=1,'Plant Total by Account'!$H$1=2),"EKWRA","")</f>
        <v/>
      </c>
      <c r="S380" s="403">
        <f>SUMIF('ISO w_System Splits'!$D$524:$D$615,B380,'ISO w_System Splits'!$P$524:$P$615)</f>
        <v>63137106.498180956</v>
      </c>
      <c r="T380" s="403" t="str">
        <f>IF(AND(S380&lt;&gt;0,'Plant Total by Account'!$H$1=2),"EKWRA TL Change","")</f>
        <v>EKWRA TL Change</v>
      </c>
      <c r="V380" s="77">
        <v>4105</v>
      </c>
      <c r="W380" s="404">
        <f t="shared" si="27"/>
        <v>0</v>
      </c>
    </row>
    <row r="381" spans="1:23" ht="12.75" customHeight="1" x14ac:dyDescent="0.2">
      <c r="A381" s="386" t="s">
        <v>508</v>
      </c>
      <c r="B381" s="398" t="s">
        <v>2190</v>
      </c>
      <c r="C381" s="398"/>
      <c r="D381" s="399">
        <v>563121.10000000009</v>
      </c>
      <c r="E381" s="399">
        <v>0</v>
      </c>
      <c r="F381" s="399">
        <v>0</v>
      </c>
      <c r="G381" s="524">
        <f t="shared" si="28"/>
        <v>563121.10000000009</v>
      </c>
      <c r="H381" s="400">
        <f>SUMIF('Trans Line Reconciliation'!$B$5:$B$84,$B381,'Trans Line Reconciliation'!$M$5:$M$84)</f>
        <v>1303.1386957310856</v>
      </c>
      <c r="I381" s="417">
        <f>SUMIF('Trans Line Reconciliation'!$B$5:$B$84,$B381,'Trans Line Reconciliation'!$N$5:$N$84)</f>
        <v>0</v>
      </c>
      <c r="J381" s="417">
        <f>SUMIF('Trans Line Reconciliation'!$B$5:$B$84,$B381,'Trans Line Reconciliation'!$O$5:$O$84)</f>
        <v>0</v>
      </c>
      <c r="K381" s="400">
        <f>SUMIF('Trans Line Reconciliation'!$B$5:$B$84,$B381,'Trans Line Reconciliation'!$P$5:$P$84)</f>
        <v>561817.96130426903</v>
      </c>
      <c r="L381" s="417">
        <f>SUMIF('Trans Line Reconciliation'!$B$5:$B$84,$B381,'Trans Line Reconciliation'!$Q$5:$Q$84)</f>
        <v>0</v>
      </c>
      <c r="M381" s="417">
        <f>SUMIF('Trans Line Reconciliation'!$B$5:$B$84,$B381,'Trans Line Reconciliation'!$R$5:$R$84)</f>
        <v>0</v>
      </c>
      <c r="N381" s="398" t="s">
        <v>2248</v>
      </c>
      <c r="O381" s="398"/>
      <c r="P381" s="403">
        <f>SUMIF('Antelope Bailey Split BA'!$B$7:$B$29,B381,'Antelope Bailey Split BA'!$C$7:$C$29)</f>
        <v>0</v>
      </c>
      <c r="Q381" s="403" t="str">
        <f>IF(AND(P381=1,'Plant Total by Account'!$H$1=2),"EKWRA","")</f>
        <v/>
      </c>
      <c r="S381" s="403">
        <f>SUMIF('ISO w_System Splits'!$D$524:$D$615,B381,'ISO w_System Splits'!$P$524:$P$615)</f>
        <v>23952.766977549953</v>
      </c>
      <c r="T381" s="403" t="str">
        <f>IF(AND(S381&lt;&gt;0,'Plant Total by Account'!$H$1=2),"EKWRA TL Change","")</f>
        <v>EKWRA TL Change</v>
      </c>
      <c r="V381" s="77">
        <v>4106</v>
      </c>
      <c r="W381" s="404">
        <f t="shared" si="27"/>
        <v>0</v>
      </c>
    </row>
    <row r="382" spans="1:23" ht="12.75" customHeight="1" x14ac:dyDescent="0.2">
      <c r="A382" s="386" t="s">
        <v>2309</v>
      </c>
      <c r="B382" s="398" t="s">
        <v>1086</v>
      </c>
      <c r="C382" s="398" t="s">
        <v>3331</v>
      </c>
      <c r="D382" s="399">
        <v>2639356.88</v>
      </c>
      <c r="E382" s="399">
        <v>303336.46999999997</v>
      </c>
      <c r="F382" s="399">
        <v>0</v>
      </c>
      <c r="G382" s="524">
        <f t="shared" si="28"/>
        <v>2942693.3499999996</v>
      </c>
      <c r="H382" s="400">
        <f>SUMIF('Trans Line Reconciliation'!$B$5:$B$84,$B382,'Trans Line Reconciliation'!$M$5:$M$84)</f>
        <v>2399012.7348375577</v>
      </c>
      <c r="I382" s="417">
        <f>SUMIF('Trans Line Reconciliation'!$B$5:$B$84,$B382,'Trans Line Reconciliation'!$N$5:$N$84)</f>
        <v>296715.87401653378</v>
      </c>
      <c r="J382" s="417">
        <f>SUMIF('Trans Line Reconciliation'!$B$5:$B$84,$B382,'Trans Line Reconciliation'!$O$5:$O$84)</f>
        <v>0</v>
      </c>
      <c r="K382" s="400">
        <f>SUMIF('Trans Line Reconciliation'!$B$5:$B$84,$B382,'Trans Line Reconciliation'!$P$5:$P$84)</f>
        <v>240344.14516244223</v>
      </c>
      <c r="L382" s="417">
        <f>SUMIF('Trans Line Reconciliation'!$B$5:$B$84,$B382,'Trans Line Reconciliation'!$Q$5:$Q$84)</f>
        <v>6620.5959834661917</v>
      </c>
      <c r="M382" s="417">
        <f>SUMIF('Trans Line Reconciliation'!$B$5:$B$84,$B382,'Trans Line Reconciliation'!$R$5:$R$84)</f>
        <v>0</v>
      </c>
      <c r="N382" s="398" t="s">
        <v>2248</v>
      </c>
      <c r="O382" s="398"/>
      <c r="P382" s="403">
        <f>SUMIF('Antelope Bailey Split BA'!$B$7:$B$29,B382,'Antelope Bailey Split BA'!$C$7:$C$29)</f>
        <v>0</v>
      </c>
      <c r="Q382" s="403" t="str">
        <f>IF(AND(P382=1,'Plant Total by Account'!$H$1=2),"EKWRA","")</f>
        <v/>
      </c>
      <c r="S382" s="403">
        <f>SUMIF('ISO w_System Splits'!$D$524:$D$615,B382,'ISO w_System Splits'!$P$524:$P$615)</f>
        <v>0</v>
      </c>
      <c r="T382" s="403" t="str">
        <f>IF(AND(S382&lt;&gt;0,'Plant Total by Account'!$H$1=2),"EKWRA TL Change","")</f>
        <v/>
      </c>
      <c r="V382" s="77">
        <v>4107</v>
      </c>
      <c r="W382" s="404">
        <f t="shared" si="27"/>
        <v>0</v>
      </c>
    </row>
    <row r="383" spans="1:23" ht="12.75" customHeight="1" x14ac:dyDescent="0.2">
      <c r="A383" s="386" t="s">
        <v>2310</v>
      </c>
      <c r="B383" s="398" t="s">
        <v>1087</v>
      </c>
      <c r="C383" s="398" t="s">
        <v>3331</v>
      </c>
      <c r="D383" s="399">
        <v>8067990.54</v>
      </c>
      <c r="E383" s="399">
        <v>3035776.63</v>
      </c>
      <c r="F383" s="399">
        <v>0</v>
      </c>
      <c r="G383" s="524">
        <f t="shared" si="28"/>
        <v>11103767.17</v>
      </c>
      <c r="H383" s="400">
        <f>SUMIF('Trans Line Reconciliation'!$B$5:$B$84,$B383,'Trans Line Reconciliation'!$M$5:$M$84)</f>
        <v>8067990.540000001</v>
      </c>
      <c r="I383" s="417">
        <f>SUMIF('Trans Line Reconciliation'!$B$5:$B$84,$B383,'Trans Line Reconciliation'!$N$5:$N$84)</f>
        <v>3035776.63</v>
      </c>
      <c r="J383" s="417">
        <f>SUMIF('Trans Line Reconciliation'!$B$5:$B$84,$B383,'Trans Line Reconciliation'!$O$5:$O$84)</f>
        <v>0</v>
      </c>
      <c r="K383" s="400">
        <f>SUMIF('Trans Line Reconciliation'!$B$5:$B$84,$B383,'Trans Line Reconciliation'!$P$5:$P$84)</f>
        <v>0</v>
      </c>
      <c r="L383" s="417">
        <f>SUMIF('Trans Line Reconciliation'!$B$5:$B$84,$B383,'Trans Line Reconciliation'!$Q$5:$Q$84)</f>
        <v>0</v>
      </c>
      <c r="M383" s="417">
        <f>SUMIF('Trans Line Reconciliation'!$B$5:$B$84,$B383,'Trans Line Reconciliation'!$R$5:$R$84)</f>
        <v>0</v>
      </c>
      <c r="N383" s="398" t="s">
        <v>2248</v>
      </c>
      <c r="O383" s="398"/>
      <c r="P383" s="403">
        <f>SUMIF('Antelope Bailey Split BA'!$B$7:$B$29,B383,'Antelope Bailey Split BA'!$C$7:$C$29)</f>
        <v>0</v>
      </c>
      <c r="Q383" s="403" t="str">
        <f>IF(AND(P383=1,'Plant Total by Account'!$H$1=2),"EKWRA","")</f>
        <v/>
      </c>
      <c r="S383" s="403">
        <f>SUMIF('ISO w_System Splits'!$D$524:$D$615,B383,'ISO w_System Splits'!$P$524:$P$615)</f>
        <v>0</v>
      </c>
      <c r="T383" s="403" t="str">
        <f>IF(AND(S383&lt;&gt;0,'Plant Total by Account'!$H$1=2),"EKWRA TL Change","")</f>
        <v/>
      </c>
      <c r="V383" s="77">
        <v>4108</v>
      </c>
      <c r="W383" s="404">
        <f t="shared" si="27"/>
        <v>0</v>
      </c>
    </row>
    <row r="384" spans="1:23" ht="12.75" customHeight="1" x14ac:dyDescent="0.2">
      <c r="A384" s="386" t="s">
        <v>1319</v>
      </c>
      <c r="B384" s="398" t="s">
        <v>2191</v>
      </c>
      <c r="C384" s="398" t="s">
        <v>3331</v>
      </c>
      <c r="D384" s="399">
        <v>1943.6299999999999</v>
      </c>
      <c r="E384" s="399">
        <v>0</v>
      </c>
      <c r="F384" s="399">
        <v>0</v>
      </c>
      <c r="G384" s="524">
        <f t="shared" si="28"/>
        <v>1943.6299999999999</v>
      </c>
      <c r="H384" s="400">
        <f>SUMIF('Trans Line Reconciliation'!$B$5:$B$84,$B384,'Trans Line Reconciliation'!$M$5:$M$84)</f>
        <v>1943.6300000000006</v>
      </c>
      <c r="I384" s="417">
        <f>SUMIF('Trans Line Reconciliation'!$B$5:$B$84,$B384,'Trans Line Reconciliation'!$N$5:$N$84)</f>
        <v>0</v>
      </c>
      <c r="J384" s="417">
        <f>SUMIF('Trans Line Reconciliation'!$B$5:$B$84,$B384,'Trans Line Reconciliation'!$O$5:$O$84)</f>
        <v>0</v>
      </c>
      <c r="K384" s="400">
        <f>SUMIF('Trans Line Reconciliation'!$B$5:$B$84,$B384,'Trans Line Reconciliation'!$P$5:$P$84)</f>
        <v>0</v>
      </c>
      <c r="L384" s="417">
        <f>SUMIF('Trans Line Reconciliation'!$B$5:$B$84,$B384,'Trans Line Reconciliation'!$Q$5:$Q$84)</f>
        <v>0</v>
      </c>
      <c r="M384" s="417">
        <f>SUMIF('Trans Line Reconciliation'!$B$5:$B$84,$B384,'Trans Line Reconciliation'!$R$5:$R$84)</f>
        <v>0</v>
      </c>
      <c r="N384" s="398" t="s">
        <v>2248</v>
      </c>
      <c r="O384" s="398"/>
      <c r="P384" s="403">
        <f>SUMIF('Antelope Bailey Split BA'!$B$7:$B$29,B384,'Antelope Bailey Split BA'!$C$7:$C$29)</f>
        <v>0</v>
      </c>
      <c r="Q384" s="403" t="str">
        <f>IF(AND(P384=1,'Plant Total by Account'!$H$1=2),"EKWRA","")</f>
        <v/>
      </c>
      <c r="S384" s="403">
        <f>SUMIF('ISO w_System Splits'!$D$524:$D$615,B384,'ISO w_System Splits'!$P$524:$P$615)</f>
        <v>0</v>
      </c>
      <c r="T384" s="403" t="str">
        <f>IF(AND(S384&lt;&gt;0,'Plant Total by Account'!$H$1=2),"EKWRA TL Change","")</f>
        <v/>
      </c>
      <c r="V384" s="77">
        <v>4111</v>
      </c>
      <c r="W384" s="404">
        <f t="shared" si="27"/>
        <v>0</v>
      </c>
    </row>
    <row r="385" spans="1:23" ht="12.75" customHeight="1" x14ac:dyDescent="0.2">
      <c r="A385" s="386" t="s">
        <v>1320</v>
      </c>
      <c r="B385" s="398" t="s">
        <v>2192</v>
      </c>
      <c r="C385" s="398" t="s">
        <v>3331</v>
      </c>
      <c r="D385" s="399">
        <v>874871.71</v>
      </c>
      <c r="E385" s="399">
        <v>0</v>
      </c>
      <c r="F385" s="399">
        <v>0</v>
      </c>
      <c r="G385" s="524">
        <f t="shared" si="28"/>
        <v>874871.71</v>
      </c>
      <c r="H385" s="400">
        <f>SUMIF('Trans Line Reconciliation'!$B$5:$B$84,$B385,'Trans Line Reconciliation'!$M$5:$M$84)</f>
        <v>866527.70676984976</v>
      </c>
      <c r="I385" s="417">
        <f>SUMIF('Trans Line Reconciliation'!$B$5:$B$84,$B385,'Trans Line Reconciliation'!$N$5:$N$84)</f>
        <v>0</v>
      </c>
      <c r="J385" s="417">
        <f>SUMIF('Trans Line Reconciliation'!$B$5:$B$84,$B385,'Trans Line Reconciliation'!$O$5:$O$84)</f>
        <v>0</v>
      </c>
      <c r="K385" s="400">
        <f>SUMIF('Trans Line Reconciliation'!$B$5:$B$84,$B385,'Trans Line Reconciliation'!$P$5:$P$84)</f>
        <v>8344.0032301502069</v>
      </c>
      <c r="L385" s="417">
        <f>SUMIF('Trans Line Reconciliation'!$B$5:$B$84,$B385,'Trans Line Reconciliation'!$Q$5:$Q$84)</f>
        <v>0</v>
      </c>
      <c r="M385" s="417">
        <f>SUMIF('Trans Line Reconciliation'!$B$5:$B$84,$B385,'Trans Line Reconciliation'!$R$5:$R$84)</f>
        <v>0</v>
      </c>
      <c r="N385" s="398" t="s">
        <v>2248</v>
      </c>
      <c r="O385" s="398"/>
      <c r="P385" s="403">
        <f>SUMIF('Antelope Bailey Split BA'!$B$7:$B$29,B385,'Antelope Bailey Split BA'!$C$7:$C$29)</f>
        <v>0</v>
      </c>
      <c r="Q385" s="403" t="str">
        <f>IF(AND(P385=1,'Plant Total by Account'!$H$1=2),"EKWRA","")</f>
        <v/>
      </c>
      <c r="S385" s="403">
        <f>SUMIF('ISO w_System Splits'!$D$524:$D$615,B385,'ISO w_System Splits'!$P$524:$P$615)</f>
        <v>0</v>
      </c>
      <c r="T385" s="403" t="str">
        <f>IF(AND(S385&lt;&gt;0,'Plant Total by Account'!$H$1=2),"EKWRA TL Change","")</f>
        <v/>
      </c>
      <c r="V385" s="77">
        <v>4113</v>
      </c>
      <c r="W385" s="404">
        <f t="shared" si="27"/>
        <v>0</v>
      </c>
    </row>
    <row r="386" spans="1:23" ht="12.75" customHeight="1" x14ac:dyDescent="0.2">
      <c r="A386" s="386" t="s">
        <v>2311</v>
      </c>
      <c r="B386" s="398" t="s">
        <v>1088</v>
      </c>
      <c r="C386" s="398" t="s">
        <v>3331</v>
      </c>
      <c r="D386" s="399">
        <v>3210577.8000000003</v>
      </c>
      <c r="E386" s="399">
        <v>534060.26</v>
      </c>
      <c r="F386" s="399">
        <v>661181.77</v>
      </c>
      <c r="G386" s="524">
        <f t="shared" si="28"/>
        <v>4405819.83</v>
      </c>
      <c r="H386" s="400">
        <f>SUMIF('Trans Line Reconciliation'!$B$5:$B$84,$B386,'Trans Line Reconciliation'!$M$5:$M$84)</f>
        <v>3063760.5697918776</v>
      </c>
      <c r="I386" s="417">
        <f>SUMIF('Trans Line Reconciliation'!$B$5:$B$84,$B386,'Trans Line Reconciliation'!$N$5:$N$84)</f>
        <v>514836.2580232817</v>
      </c>
      <c r="J386" s="417">
        <f>SUMIF('Trans Line Reconciliation'!$B$5:$B$84,$B386,'Trans Line Reconciliation'!$O$5:$O$84)</f>
        <v>630944.71945687162</v>
      </c>
      <c r="K386" s="400">
        <f>SUMIF('Trans Line Reconciliation'!$B$5:$B$84,$B386,'Trans Line Reconciliation'!$P$5:$P$84)</f>
        <v>146817.23020812264</v>
      </c>
      <c r="L386" s="417">
        <f>SUMIF('Trans Line Reconciliation'!$B$5:$B$84,$B386,'Trans Line Reconciliation'!$Q$5:$Q$84)</f>
        <v>19224.001976718311</v>
      </c>
      <c r="M386" s="417">
        <f>SUMIF('Trans Line Reconciliation'!$B$5:$B$84,$B386,'Trans Line Reconciliation'!$R$5:$R$84)</f>
        <v>30237.050543128396</v>
      </c>
      <c r="N386" s="398" t="s">
        <v>2248</v>
      </c>
      <c r="O386" s="398"/>
      <c r="P386" s="403">
        <f>SUMIF('Antelope Bailey Split BA'!$B$7:$B$29,B386,'Antelope Bailey Split BA'!$C$7:$C$29)</f>
        <v>0</v>
      </c>
      <c r="Q386" s="403" t="str">
        <f>IF(AND(P386=1,'Plant Total by Account'!$H$1=2),"EKWRA","")</f>
        <v/>
      </c>
      <c r="S386" s="403">
        <f>SUMIF('ISO w_System Splits'!$D$524:$D$615,B386,'ISO w_System Splits'!$P$524:$P$615)</f>
        <v>0</v>
      </c>
      <c r="T386" s="403" t="str">
        <f>IF(AND(S386&lt;&gt;0,'Plant Total by Account'!$H$1=2),"EKWRA TL Change","")</f>
        <v/>
      </c>
      <c r="V386" s="77">
        <v>4114</v>
      </c>
      <c r="W386" s="404">
        <f t="shared" si="27"/>
        <v>0</v>
      </c>
    </row>
    <row r="387" spans="1:23" ht="12.75" customHeight="1" x14ac:dyDescent="0.2">
      <c r="A387" s="386" t="s">
        <v>2312</v>
      </c>
      <c r="B387" s="398" t="s">
        <v>1089</v>
      </c>
      <c r="C387" s="398" t="s">
        <v>3331</v>
      </c>
      <c r="D387" s="399">
        <v>1607024.1400000001</v>
      </c>
      <c r="E387" s="399">
        <v>531634.82999999996</v>
      </c>
      <c r="F387" s="399">
        <v>2148.6799999999998</v>
      </c>
      <c r="G387" s="524">
        <f t="shared" si="28"/>
        <v>2140807.6500000004</v>
      </c>
      <c r="H387" s="400">
        <f>SUMIF('Trans Line Reconciliation'!$B$5:$B$84,$B387,'Trans Line Reconciliation'!$M$5:$M$84)</f>
        <v>1607024.1400000001</v>
      </c>
      <c r="I387" s="417">
        <f>SUMIF('Trans Line Reconciliation'!$B$5:$B$84,$B387,'Trans Line Reconciliation'!$N$5:$N$84)</f>
        <v>531634.82999999996</v>
      </c>
      <c r="J387" s="417">
        <f>SUMIF('Trans Line Reconciliation'!$B$5:$B$84,$B387,'Trans Line Reconciliation'!$O$5:$O$84)</f>
        <v>2148.6799999999998</v>
      </c>
      <c r="K387" s="400">
        <f>SUMIF('Trans Line Reconciliation'!$B$5:$B$84,$B387,'Trans Line Reconciliation'!$P$5:$P$84)</f>
        <v>0</v>
      </c>
      <c r="L387" s="417">
        <f>SUMIF('Trans Line Reconciliation'!$B$5:$B$84,$B387,'Trans Line Reconciliation'!$Q$5:$Q$84)</f>
        <v>0</v>
      </c>
      <c r="M387" s="417">
        <f>SUMIF('Trans Line Reconciliation'!$B$5:$B$84,$B387,'Trans Line Reconciliation'!$R$5:$R$84)</f>
        <v>0</v>
      </c>
      <c r="N387" s="398" t="s">
        <v>2248</v>
      </c>
      <c r="O387" s="398"/>
      <c r="P387" s="403">
        <f>SUMIF('Antelope Bailey Split BA'!$B$7:$B$29,B387,'Antelope Bailey Split BA'!$C$7:$C$29)</f>
        <v>0</v>
      </c>
      <c r="Q387" s="403" t="str">
        <f>IF(AND(P387=1,'Plant Total by Account'!$H$1=2),"EKWRA","")</f>
        <v/>
      </c>
      <c r="S387" s="403">
        <f>SUMIF('ISO w_System Splits'!$D$524:$D$615,B387,'ISO w_System Splits'!$P$524:$P$615)</f>
        <v>0</v>
      </c>
      <c r="T387" s="403" t="str">
        <f>IF(AND(S387&lt;&gt;0,'Plant Total by Account'!$H$1=2),"EKWRA TL Change","")</f>
        <v/>
      </c>
      <c r="V387" s="77">
        <v>4115</v>
      </c>
      <c r="W387" s="404">
        <f t="shared" si="27"/>
        <v>0</v>
      </c>
    </row>
    <row r="388" spans="1:23" ht="12.75" customHeight="1" x14ac:dyDescent="0.2">
      <c r="A388" s="386" t="s">
        <v>2313</v>
      </c>
      <c r="B388" s="398" t="s">
        <v>1090</v>
      </c>
      <c r="C388" s="398" t="s">
        <v>3331</v>
      </c>
      <c r="D388" s="399">
        <v>3594552.46</v>
      </c>
      <c r="E388" s="399">
        <v>174910.36000000002</v>
      </c>
      <c r="F388" s="399">
        <v>2064.92</v>
      </c>
      <c r="G388" s="524">
        <f t="shared" si="28"/>
        <v>3771527.7399999998</v>
      </c>
      <c r="H388" s="400">
        <f>SUMIF('Trans Line Reconciliation'!$B$5:$B$84,$B388,'Trans Line Reconciliation'!$M$5:$M$84)</f>
        <v>3594621.72</v>
      </c>
      <c r="I388" s="417">
        <f>SUMIF('Trans Line Reconciliation'!$B$5:$B$84,$B388,'Trans Line Reconciliation'!$N$5:$N$84)</f>
        <v>174910.36</v>
      </c>
      <c r="J388" s="417">
        <f>SUMIF('Trans Line Reconciliation'!$B$5:$B$84,$B388,'Trans Line Reconciliation'!$O$5:$O$84)</f>
        <v>2064.92</v>
      </c>
      <c r="K388" s="400">
        <f>SUMIF('Trans Line Reconciliation'!$B$5:$B$84,$B388,'Trans Line Reconciliation'!$P$5:$P$84)</f>
        <v>-69.260000000242144</v>
      </c>
      <c r="L388" s="417">
        <f>SUMIF('Trans Line Reconciliation'!$B$5:$B$84,$B388,'Trans Line Reconciliation'!$Q$5:$Q$84)</f>
        <v>2.9103830456733704E-11</v>
      </c>
      <c r="M388" s="417">
        <f>SUMIF('Trans Line Reconciliation'!$B$5:$B$84,$B388,'Trans Line Reconciliation'!$R$5:$R$84)</f>
        <v>0</v>
      </c>
      <c r="N388" s="398" t="s">
        <v>2248</v>
      </c>
      <c r="O388" s="398"/>
      <c r="P388" s="403">
        <f>SUMIF('Antelope Bailey Split BA'!$B$7:$B$29,B388,'Antelope Bailey Split BA'!$C$7:$C$29)</f>
        <v>0</v>
      </c>
      <c r="Q388" s="403" t="str">
        <f>IF(AND(P388=1,'Plant Total by Account'!$H$1=2),"EKWRA","")</f>
        <v/>
      </c>
      <c r="S388" s="403">
        <f>SUMIF('ISO w_System Splits'!$D$524:$D$615,B388,'ISO w_System Splits'!$P$524:$P$615)</f>
        <v>0</v>
      </c>
      <c r="T388" s="403" t="str">
        <f>IF(AND(S388&lt;&gt;0,'Plant Total by Account'!$H$1=2),"EKWRA TL Change","")</f>
        <v/>
      </c>
      <c r="V388" s="77">
        <v>4116</v>
      </c>
      <c r="W388" s="404">
        <f t="shared" si="27"/>
        <v>0</v>
      </c>
    </row>
    <row r="389" spans="1:23" ht="12.75" customHeight="1" x14ac:dyDescent="0.2">
      <c r="A389" s="386" t="s">
        <v>2314</v>
      </c>
      <c r="B389" s="398" t="s">
        <v>1091</v>
      </c>
      <c r="C389" s="398" t="s">
        <v>3331</v>
      </c>
      <c r="D389" s="399">
        <v>1005475.76</v>
      </c>
      <c r="E389" s="399">
        <v>7083.96</v>
      </c>
      <c r="F389" s="399">
        <v>12857.19</v>
      </c>
      <c r="G389" s="524">
        <f t="shared" si="28"/>
        <v>1025416.9099999999</v>
      </c>
      <c r="H389" s="400">
        <f>SUMIF('Trans Line Reconciliation'!$B$5:$B$84,$B389,'Trans Line Reconciliation'!$M$5:$M$84)</f>
        <v>1005508.8399999996</v>
      </c>
      <c r="I389" s="417">
        <f>SUMIF('Trans Line Reconciliation'!$B$5:$B$84,$B389,'Trans Line Reconciliation'!$N$5:$N$84)</f>
        <v>7083.9599999999991</v>
      </c>
      <c r="J389" s="417">
        <f>SUMIF('Trans Line Reconciliation'!$B$5:$B$84,$B389,'Trans Line Reconciliation'!$O$5:$O$84)</f>
        <v>12857.189999999999</v>
      </c>
      <c r="K389" s="400">
        <f>SUMIF('Trans Line Reconciliation'!$B$5:$B$84,$B389,'Trans Line Reconciliation'!$P$5:$P$84)</f>
        <v>-33.079999999608845</v>
      </c>
      <c r="L389" s="417">
        <f>SUMIF('Trans Line Reconciliation'!$B$5:$B$84,$B389,'Trans Line Reconciliation'!$Q$5:$Q$84)</f>
        <v>9.0949470177292824E-13</v>
      </c>
      <c r="M389" s="417">
        <f>SUMIF('Trans Line Reconciliation'!$B$5:$B$84,$B389,'Trans Line Reconciliation'!$R$5:$R$84)</f>
        <v>0</v>
      </c>
      <c r="N389" s="398" t="s">
        <v>2248</v>
      </c>
      <c r="O389" s="398"/>
      <c r="P389" s="403">
        <f>SUMIF('Antelope Bailey Split BA'!$B$7:$B$29,B389,'Antelope Bailey Split BA'!$C$7:$C$29)</f>
        <v>0</v>
      </c>
      <c r="Q389" s="403" t="str">
        <f>IF(AND(P389=1,'Plant Total by Account'!$H$1=2),"EKWRA","")</f>
        <v/>
      </c>
      <c r="S389" s="403">
        <f>SUMIF('ISO w_System Splits'!$D$524:$D$615,B389,'ISO w_System Splits'!$P$524:$P$615)</f>
        <v>0</v>
      </c>
      <c r="T389" s="403" t="str">
        <f>IF(AND(S389&lt;&gt;0,'Plant Total by Account'!$H$1=2),"EKWRA TL Change","")</f>
        <v/>
      </c>
      <c r="V389" s="77">
        <v>4117</v>
      </c>
      <c r="W389" s="404">
        <f t="shared" si="27"/>
        <v>0</v>
      </c>
    </row>
    <row r="390" spans="1:23" ht="12.75" customHeight="1" x14ac:dyDescent="0.2">
      <c r="A390" s="386" t="s">
        <v>2315</v>
      </c>
      <c r="B390" s="398" t="s">
        <v>1092</v>
      </c>
      <c r="C390" s="398" t="s">
        <v>3331</v>
      </c>
      <c r="D390" s="399">
        <v>5639404.7100000009</v>
      </c>
      <c r="E390" s="399">
        <v>134434.71000000002</v>
      </c>
      <c r="F390" s="399">
        <v>2259.8000000000002</v>
      </c>
      <c r="G390" s="524">
        <f t="shared" si="28"/>
        <v>5776099.2200000007</v>
      </c>
      <c r="H390" s="400">
        <f>SUMIF('Trans Line Reconciliation'!$B$5:$B$84,$B390,'Trans Line Reconciliation'!$M$5:$M$84)</f>
        <v>5239034.8803760903</v>
      </c>
      <c r="I390" s="417">
        <f>SUMIF('Trans Line Reconciliation'!$B$5:$B$84,$B390,'Trans Line Reconciliation'!$N$5:$N$84)</f>
        <v>124516.07307997544</v>
      </c>
      <c r="J390" s="417">
        <f>SUMIF('Trans Line Reconciliation'!$B$5:$B$84,$B390,'Trans Line Reconciliation'!$O$5:$O$84)</f>
        <v>2093.0712161028086</v>
      </c>
      <c r="K390" s="400">
        <f>SUMIF('Trans Line Reconciliation'!$B$5:$B$84,$B390,'Trans Line Reconciliation'!$P$5:$P$84)</f>
        <v>400369.8296239106</v>
      </c>
      <c r="L390" s="417">
        <f>SUMIF('Trans Line Reconciliation'!$B$5:$B$84,$B390,'Trans Line Reconciliation'!$Q$5:$Q$84)</f>
        <v>9918.6369200245827</v>
      </c>
      <c r="M390" s="417">
        <f>SUMIF('Trans Line Reconciliation'!$B$5:$B$84,$B390,'Trans Line Reconciliation'!$R$5:$R$84)</f>
        <v>166.72878389719153</v>
      </c>
      <c r="N390" s="398" t="s">
        <v>2248</v>
      </c>
      <c r="O390" s="398"/>
      <c r="P390" s="403">
        <f>SUMIF('Antelope Bailey Split BA'!$B$7:$B$29,B390,'Antelope Bailey Split BA'!$C$7:$C$29)</f>
        <v>0</v>
      </c>
      <c r="Q390" s="403" t="str">
        <f>IF(AND(P390=1,'Plant Total by Account'!$H$1=2),"EKWRA","")</f>
        <v/>
      </c>
      <c r="S390" s="403">
        <f>SUMIF('ISO w_System Splits'!$D$524:$D$615,B390,'ISO w_System Splits'!$P$524:$P$615)</f>
        <v>0</v>
      </c>
      <c r="T390" s="403" t="str">
        <f>IF(AND(S390&lt;&gt;0,'Plant Total by Account'!$H$1=2),"EKWRA TL Change","")</f>
        <v/>
      </c>
      <c r="V390" s="77">
        <v>4118</v>
      </c>
      <c r="W390" s="404">
        <f t="shared" si="27"/>
        <v>0</v>
      </c>
    </row>
    <row r="391" spans="1:23" ht="12.75" customHeight="1" x14ac:dyDescent="0.2">
      <c r="A391" s="386" t="s">
        <v>2316</v>
      </c>
      <c r="B391" s="398" t="s">
        <v>1093</v>
      </c>
      <c r="C391" s="398" t="s">
        <v>3331</v>
      </c>
      <c r="D391" s="399">
        <v>2099654.15</v>
      </c>
      <c r="E391" s="399">
        <v>71859.650000000009</v>
      </c>
      <c r="F391" s="399">
        <v>100.89</v>
      </c>
      <c r="G391" s="524">
        <f t="shared" si="28"/>
        <v>2171614.69</v>
      </c>
      <c r="H391" s="400">
        <f>SUMIF('Trans Line Reconciliation'!$B$5:$B$84,$B391,'Trans Line Reconciliation'!$M$5:$M$84)</f>
        <v>1793706.872299684</v>
      </c>
      <c r="I391" s="417">
        <f>SUMIF('Trans Line Reconciliation'!$B$5:$B$84,$B391,'Trans Line Reconciliation'!$N$5:$N$84)</f>
        <v>61385.087068522727</v>
      </c>
      <c r="J391" s="417">
        <f>SUMIF('Trans Line Reconciliation'!$B$5:$B$84,$B391,'Trans Line Reconciliation'!$O$5:$O$84)</f>
        <v>86.183851916106718</v>
      </c>
      <c r="K391" s="400">
        <f>SUMIF('Trans Line Reconciliation'!$B$5:$B$84,$B391,'Trans Line Reconciliation'!$P$5:$P$84)</f>
        <v>305947.27770031593</v>
      </c>
      <c r="L391" s="417">
        <f>SUMIF('Trans Line Reconciliation'!$B$5:$B$84,$B391,'Trans Line Reconciliation'!$Q$5:$Q$84)</f>
        <v>10474.562931477281</v>
      </c>
      <c r="M391" s="417">
        <f>SUMIF('Trans Line Reconciliation'!$B$5:$B$84,$B391,'Trans Line Reconciliation'!$R$5:$R$84)</f>
        <v>14.706148083893282</v>
      </c>
      <c r="N391" s="398" t="s">
        <v>2248</v>
      </c>
      <c r="O391" s="398"/>
      <c r="P391" s="403">
        <f>SUMIF('Antelope Bailey Split BA'!$B$7:$B$29,B391,'Antelope Bailey Split BA'!$C$7:$C$29)</f>
        <v>0</v>
      </c>
      <c r="Q391" s="403" t="str">
        <f>IF(AND(P391=1,'Plant Total by Account'!$H$1=2),"EKWRA","")</f>
        <v/>
      </c>
      <c r="S391" s="403">
        <f>SUMIF('ISO w_System Splits'!$D$524:$D$615,B391,'ISO w_System Splits'!$P$524:$P$615)</f>
        <v>0</v>
      </c>
      <c r="T391" s="403" t="str">
        <f>IF(AND(S391&lt;&gt;0,'Plant Total by Account'!$H$1=2),"EKWRA TL Change","")</f>
        <v/>
      </c>
      <c r="V391" s="77">
        <v>4119</v>
      </c>
      <c r="W391" s="404">
        <f t="shared" si="27"/>
        <v>0</v>
      </c>
    </row>
    <row r="392" spans="1:23" ht="12.75" customHeight="1" x14ac:dyDescent="0.2">
      <c r="A392" s="386" t="s">
        <v>2317</v>
      </c>
      <c r="B392" s="398" t="s">
        <v>1094</v>
      </c>
      <c r="C392" s="398" t="s">
        <v>3331</v>
      </c>
      <c r="D392" s="399">
        <v>4270244.0200000005</v>
      </c>
      <c r="E392" s="399">
        <v>298149.87000000005</v>
      </c>
      <c r="F392" s="399">
        <v>3380</v>
      </c>
      <c r="G392" s="524">
        <f t="shared" si="28"/>
        <v>4571773.8900000006</v>
      </c>
      <c r="H392" s="400">
        <f>SUMIF('Trans Line Reconciliation'!$B$5:$B$84,$B392,'Trans Line Reconciliation'!$M$5:$M$84)</f>
        <v>3695472.462674276</v>
      </c>
      <c r="I392" s="417">
        <f>SUMIF('Trans Line Reconciliation'!$B$5:$B$84,$B392,'Trans Line Reconciliation'!$N$5:$N$84)</f>
        <v>258018.49563661142</v>
      </c>
      <c r="J392" s="417">
        <f>SUMIF('Trans Line Reconciliation'!$B$5:$B$84,$B392,'Trans Line Reconciliation'!$O$5:$O$84)</f>
        <v>2925.0474442660216</v>
      </c>
      <c r="K392" s="400">
        <f>SUMIF('Trans Line Reconciliation'!$B$5:$B$84,$B392,'Trans Line Reconciliation'!$P$5:$P$84)</f>
        <v>574771.55732572451</v>
      </c>
      <c r="L392" s="417">
        <f>SUMIF('Trans Line Reconciliation'!$B$5:$B$84,$B392,'Trans Line Reconciliation'!$Q$5:$Q$84)</f>
        <v>40131.374363388633</v>
      </c>
      <c r="M392" s="417">
        <f>SUMIF('Trans Line Reconciliation'!$B$5:$B$84,$B392,'Trans Line Reconciliation'!$R$5:$R$84)</f>
        <v>454.95255573397844</v>
      </c>
      <c r="N392" s="398" t="s">
        <v>2248</v>
      </c>
      <c r="O392" s="398"/>
      <c r="P392" s="403">
        <f>SUMIF('Antelope Bailey Split BA'!$B$7:$B$29,B392,'Antelope Bailey Split BA'!$C$7:$C$29)</f>
        <v>0</v>
      </c>
      <c r="Q392" s="403" t="str">
        <f>IF(AND(P392=1,'Plant Total by Account'!$H$1=2),"EKWRA","")</f>
        <v/>
      </c>
      <c r="S392" s="403">
        <f>SUMIF('ISO w_System Splits'!$D$524:$D$615,B392,'ISO w_System Splits'!$P$524:$P$615)</f>
        <v>0</v>
      </c>
      <c r="T392" s="403" t="str">
        <f>IF(AND(S392&lt;&gt;0,'Plant Total by Account'!$H$1=2),"EKWRA TL Change","")</f>
        <v/>
      </c>
      <c r="V392" s="77">
        <v>4120</v>
      </c>
      <c r="W392" s="404">
        <f t="shared" si="27"/>
        <v>0</v>
      </c>
    </row>
    <row r="393" spans="1:23" ht="12.75" customHeight="1" x14ac:dyDescent="0.2">
      <c r="A393" s="386" t="s">
        <v>1321</v>
      </c>
      <c r="B393" s="398" t="s">
        <v>2193</v>
      </c>
      <c r="C393" s="398" t="s">
        <v>3331</v>
      </c>
      <c r="D393" s="399">
        <v>353928.47</v>
      </c>
      <c r="E393" s="399">
        <v>0</v>
      </c>
      <c r="F393" s="399">
        <v>0</v>
      </c>
      <c r="G393" s="524">
        <f t="shared" ref="G393:G448" si="29">SUM(D393:F393)</f>
        <v>353928.47</v>
      </c>
      <c r="H393" s="400">
        <f>SUMIF('Trans Line Reconciliation'!$B$5:$B$84,$B393,'Trans Line Reconciliation'!$M$5:$M$84)</f>
        <v>353928.47</v>
      </c>
      <c r="I393" s="417">
        <f>SUMIF('Trans Line Reconciliation'!$B$5:$B$84,$B393,'Trans Line Reconciliation'!$N$5:$N$84)</f>
        <v>0</v>
      </c>
      <c r="J393" s="417">
        <f>SUMIF('Trans Line Reconciliation'!$B$5:$B$84,$B393,'Trans Line Reconciliation'!$O$5:$O$84)</f>
        <v>0</v>
      </c>
      <c r="K393" s="400">
        <f>SUMIF('Trans Line Reconciliation'!$B$5:$B$84,$B393,'Trans Line Reconciliation'!$P$5:$P$84)</f>
        <v>0</v>
      </c>
      <c r="L393" s="417">
        <f>SUMIF('Trans Line Reconciliation'!$B$5:$B$84,$B393,'Trans Line Reconciliation'!$Q$5:$Q$84)</f>
        <v>0</v>
      </c>
      <c r="M393" s="417">
        <f>SUMIF('Trans Line Reconciliation'!$B$5:$B$84,$B393,'Trans Line Reconciliation'!$R$5:$R$84)</f>
        <v>0</v>
      </c>
      <c r="N393" s="398" t="s">
        <v>2248</v>
      </c>
      <c r="O393" s="398"/>
      <c r="P393" s="403">
        <f>SUMIF('Antelope Bailey Split BA'!$B$7:$B$29,B393,'Antelope Bailey Split BA'!$C$7:$C$29)</f>
        <v>0</v>
      </c>
      <c r="Q393" s="403" t="str">
        <f>IF(AND(P393=1,'Plant Total by Account'!$H$1=2),"EKWRA","")</f>
        <v/>
      </c>
      <c r="S393" s="403">
        <f>SUMIF('ISO w_System Splits'!$D$524:$D$615,B393,'ISO w_System Splits'!$P$524:$P$615)</f>
        <v>0</v>
      </c>
      <c r="T393" s="403" t="str">
        <f>IF(AND(S393&lt;&gt;0,'Plant Total by Account'!$H$1=2),"EKWRA TL Change","")</f>
        <v/>
      </c>
      <c r="V393" s="77">
        <v>4121</v>
      </c>
      <c r="W393" s="404">
        <f t="shared" si="27"/>
        <v>0</v>
      </c>
    </row>
    <row r="394" spans="1:23" ht="12.75" customHeight="1" x14ac:dyDescent="0.2">
      <c r="A394" s="386" t="s">
        <v>2318</v>
      </c>
      <c r="B394" s="398" t="s">
        <v>1095</v>
      </c>
      <c r="C394" s="398" t="s">
        <v>3330</v>
      </c>
      <c r="D394" s="399">
        <v>1734921.02</v>
      </c>
      <c r="E394" s="399">
        <v>0</v>
      </c>
      <c r="F394" s="399">
        <v>16632.95</v>
      </c>
      <c r="G394" s="524">
        <f t="shared" si="29"/>
        <v>1751553.97</v>
      </c>
      <c r="H394" s="400">
        <f>SUMIF('Trans Line Reconciliation'!$B$5:$B$84,$B394,'Trans Line Reconciliation'!$M$5:$M$84)</f>
        <v>1734921.0199999998</v>
      </c>
      <c r="I394" s="417">
        <f>SUMIF('Trans Line Reconciliation'!$B$5:$B$84,$B394,'Trans Line Reconciliation'!$N$5:$N$84)</f>
        <v>0</v>
      </c>
      <c r="J394" s="417">
        <f>SUMIF('Trans Line Reconciliation'!$B$5:$B$84,$B394,'Trans Line Reconciliation'!$O$5:$O$84)</f>
        <v>16632.949999999997</v>
      </c>
      <c r="K394" s="400">
        <f>SUMIF('Trans Line Reconciliation'!$B$5:$B$84,$B394,'Trans Line Reconciliation'!$P$5:$P$84)</f>
        <v>0</v>
      </c>
      <c r="L394" s="417">
        <f>SUMIF('Trans Line Reconciliation'!$B$5:$B$84,$B394,'Trans Line Reconciliation'!$Q$5:$Q$84)</f>
        <v>0</v>
      </c>
      <c r="M394" s="417">
        <f>SUMIF('Trans Line Reconciliation'!$B$5:$B$84,$B394,'Trans Line Reconciliation'!$R$5:$R$84)</f>
        <v>0</v>
      </c>
      <c r="N394" s="398" t="s">
        <v>2248</v>
      </c>
      <c r="O394" s="398"/>
      <c r="P394" s="403">
        <f>SUMIF('Antelope Bailey Split BA'!$B$7:$B$29,B394,'Antelope Bailey Split BA'!$C$7:$C$29)</f>
        <v>0</v>
      </c>
      <c r="Q394" s="403" t="str">
        <f>IF(AND(P394=1,'Plant Total by Account'!$H$1=2),"EKWRA","")</f>
        <v/>
      </c>
      <c r="S394" s="403">
        <f>SUMIF('ISO w_System Splits'!$D$524:$D$615,B394,'ISO w_System Splits'!$P$524:$P$615)</f>
        <v>0</v>
      </c>
      <c r="T394" s="403" t="str">
        <f>IF(AND(S394&lt;&gt;0,'Plant Total by Account'!$H$1=2),"EKWRA TL Change","")</f>
        <v/>
      </c>
      <c r="V394" s="77">
        <v>4123</v>
      </c>
      <c r="W394" s="404">
        <f t="shared" ref="W394:W448" si="30">E:E-I:I-L:L</f>
        <v>0</v>
      </c>
    </row>
    <row r="395" spans="1:23" ht="12.75" customHeight="1" x14ac:dyDescent="0.2">
      <c r="A395" s="386" t="s">
        <v>509</v>
      </c>
      <c r="B395" s="398" t="s">
        <v>2194</v>
      </c>
      <c r="C395" s="398"/>
      <c r="D395" s="399">
        <v>485.44</v>
      </c>
      <c r="E395" s="399">
        <v>0</v>
      </c>
      <c r="F395" s="399">
        <v>0</v>
      </c>
      <c r="G395" s="524">
        <f t="shared" si="29"/>
        <v>485.44</v>
      </c>
      <c r="H395" s="400">
        <f>SUMIF('Trans Line Reconciliation'!$B$5:$B$84,$B395,'Trans Line Reconciliation'!$M$5:$M$84)</f>
        <v>0</v>
      </c>
      <c r="I395" s="417">
        <f>SUMIF('Trans Line Reconciliation'!$B$5:$B$84,$B395,'Trans Line Reconciliation'!$N$5:$N$84)</f>
        <v>0</v>
      </c>
      <c r="J395" s="417">
        <f>SUMIF('Trans Line Reconciliation'!$B$5:$B$84,$B395,'Trans Line Reconciliation'!$O$5:$O$84)</f>
        <v>0</v>
      </c>
      <c r="K395" s="400">
        <f>SUMIF('Trans Line Reconciliation'!$B$5:$B$84,$B395,'Trans Line Reconciliation'!$P$5:$P$84)</f>
        <v>485.44</v>
      </c>
      <c r="L395" s="417">
        <f>SUMIF('Trans Line Reconciliation'!$B$5:$B$84,$B395,'Trans Line Reconciliation'!$Q$5:$Q$84)</f>
        <v>0</v>
      </c>
      <c r="M395" s="417">
        <f>SUMIF('Trans Line Reconciliation'!$B$5:$B$84,$B395,'Trans Line Reconciliation'!$R$5:$R$84)</f>
        <v>0</v>
      </c>
      <c r="N395" s="398" t="s">
        <v>2248</v>
      </c>
      <c r="O395" s="398"/>
      <c r="P395" s="403">
        <f>SUMIF('Antelope Bailey Split BA'!$B$7:$B$29,B395,'Antelope Bailey Split BA'!$C$7:$C$29)</f>
        <v>0</v>
      </c>
      <c r="Q395" s="403" t="str">
        <f>IF(AND(P395=1,'Plant Total by Account'!$H$1=2),"EKWRA","")</f>
        <v/>
      </c>
      <c r="S395" s="403">
        <f>SUMIF('ISO w_System Splits'!$D$524:$D$615,B395,'ISO w_System Splits'!$P$524:$P$615)</f>
        <v>0</v>
      </c>
      <c r="T395" s="403" t="str">
        <f>IF(AND(S395&lt;&gt;0,'Plant Total by Account'!$H$1=2),"EKWRA TL Change","")</f>
        <v/>
      </c>
      <c r="V395" s="77">
        <v>4124</v>
      </c>
      <c r="W395" s="404">
        <f t="shared" si="30"/>
        <v>0</v>
      </c>
    </row>
    <row r="396" spans="1:23" ht="12.75" customHeight="1" x14ac:dyDescent="0.2">
      <c r="A396" s="386" t="s">
        <v>2319</v>
      </c>
      <c r="B396" s="398" t="s">
        <v>1096</v>
      </c>
      <c r="C396" s="398" t="s">
        <v>3331</v>
      </c>
      <c r="D396" s="399">
        <v>11414611.949999999</v>
      </c>
      <c r="E396" s="399">
        <v>1761945.9299999995</v>
      </c>
      <c r="F396" s="399">
        <v>1918.1100000000001</v>
      </c>
      <c r="G396" s="524">
        <f t="shared" si="29"/>
        <v>13178475.989999998</v>
      </c>
      <c r="H396" s="400">
        <f>SUMIF('Trans Line Reconciliation'!$B$5:$B$84,$B396,'Trans Line Reconciliation'!$M$5:$M$84)</f>
        <v>8492875.3996889424</v>
      </c>
      <c r="I396" s="417">
        <f>SUMIF('Trans Line Reconciliation'!$B$5:$B$84,$B396,'Trans Line Reconciliation'!$N$5:$N$84)</f>
        <v>1316772.494567086</v>
      </c>
      <c r="J396" s="417">
        <f>SUMIF('Trans Line Reconciliation'!$B$5:$B$84,$B396,'Trans Line Reconciliation'!$O$5:$O$84)</f>
        <v>1427.1417464084145</v>
      </c>
      <c r="K396" s="400">
        <f>SUMIF('Trans Line Reconciliation'!$B$5:$B$84,$B396,'Trans Line Reconciliation'!$P$5:$P$84)</f>
        <v>2921736.5503110569</v>
      </c>
      <c r="L396" s="417">
        <f>SUMIF('Trans Line Reconciliation'!$B$5:$B$84,$B396,'Trans Line Reconciliation'!$Q$5:$Q$84)</f>
        <v>445173.43543291348</v>
      </c>
      <c r="M396" s="417">
        <f>SUMIF('Trans Line Reconciliation'!$B$5:$B$84,$B396,'Trans Line Reconciliation'!$R$5:$R$84)</f>
        <v>490.96825359158561</v>
      </c>
      <c r="N396" s="398" t="s">
        <v>2248</v>
      </c>
      <c r="O396" s="398"/>
      <c r="P396" s="403">
        <f>SUMIF('Antelope Bailey Split BA'!$B$7:$B$29,B396,'Antelope Bailey Split BA'!$C$7:$C$29)</f>
        <v>0</v>
      </c>
      <c r="Q396" s="403" t="str">
        <f>IF(AND(P396=1,'Plant Total by Account'!$H$1=2),"EKWRA","")</f>
        <v/>
      </c>
      <c r="S396" s="403">
        <f>SUMIF('ISO w_System Splits'!$D$524:$D$615,B396,'ISO w_System Splits'!$P$524:$P$615)</f>
        <v>0</v>
      </c>
      <c r="T396" s="403" t="str">
        <f>IF(AND(S396&lt;&gt;0,'Plant Total by Account'!$H$1=2),"EKWRA TL Change","")</f>
        <v/>
      </c>
      <c r="V396" s="77">
        <v>4125</v>
      </c>
      <c r="W396" s="404">
        <f t="shared" si="30"/>
        <v>0</v>
      </c>
    </row>
    <row r="397" spans="1:23" ht="12.75" customHeight="1" x14ac:dyDescent="0.2">
      <c r="A397" s="386" t="s">
        <v>1322</v>
      </c>
      <c r="B397" s="398" t="s">
        <v>2195</v>
      </c>
      <c r="C397" s="398"/>
      <c r="D397" s="399">
        <v>19842.47</v>
      </c>
      <c r="E397" s="399">
        <v>0</v>
      </c>
      <c r="F397" s="399">
        <v>0</v>
      </c>
      <c r="G397" s="524">
        <f t="shared" si="29"/>
        <v>19842.47</v>
      </c>
      <c r="H397" s="400">
        <f>SUMIF('Trans Line Reconciliation'!$B$5:$B$84,$B397,'Trans Line Reconciliation'!$M$5:$M$84)</f>
        <v>19842.470000000005</v>
      </c>
      <c r="I397" s="417">
        <f>SUMIF('Trans Line Reconciliation'!$B$5:$B$84,$B397,'Trans Line Reconciliation'!$N$5:$N$84)</f>
        <v>0</v>
      </c>
      <c r="J397" s="417">
        <f>SUMIF('Trans Line Reconciliation'!$B$5:$B$84,$B397,'Trans Line Reconciliation'!$O$5:$O$84)</f>
        <v>0</v>
      </c>
      <c r="K397" s="400">
        <f>SUMIF('Trans Line Reconciliation'!$B$5:$B$84,$B397,'Trans Line Reconciliation'!$P$5:$P$84)</f>
        <v>0</v>
      </c>
      <c r="L397" s="417">
        <f>SUMIF('Trans Line Reconciliation'!$B$5:$B$84,$B397,'Trans Line Reconciliation'!$Q$5:$Q$84)</f>
        <v>0</v>
      </c>
      <c r="M397" s="417">
        <f>SUMIF('Trans Line Reconciliation'!$B$5:$B$84,$B397,'Trans Line Reconciliation'!$R$5:$R$84)</f>
        <v>0</v>
      </c>
      <c r="N397" s="398" t="s">
        <v>2248</v>
      </c>
      <c r="O397" s="398"/>
      <c r="P397" s="403">
        <f>SUMIF('Antelope Bailey Split BA'!$B$7:$B$29,B397,'Antelope Bailey Split BA'!$C$7:$C$29)</f>
        <v>0</v>
      </c>
      <c r="Q397" s="403" t="str">
        <f>IF(AND(P397=1,'Plant Total by Account'!$H$1=2),"EKWRA","")</f>
        <v/>
      </c>
      <c r="S397" s="403">
        <f>SUMIF('ISO w_System Splits'!$D$524:$D$615,B397,'ISO w_System Splits'!$P$524:$P$615)</f>
        <v>0</v>
      </c>
      <c r="T397" s="403" t="str">
        <f>IF(AND(S397&lt;&gt;0,'Plant Total by Account'!$H$1=2),"EKWRA TL Change","")</f>
        <v/>
      </c>
      <c r="V397" s="77">
        <v>4127</v>
      </c>
      <c r="W397" s="404">
        <f t="shared" si="30"/>
        <v>0</v>
      </c>
    </row>
    <row r="398" spans="1:23" ht="12.75" customHeight="1" x14ac:dyDescent="0.2">
      <c r="A398" s="386" t="s">
        <v>510</v>
      </c>
      <c r="B398" s="398" t="s">
        <v>2196</v>
      </c>
      <c r="C398" s="398" t="s">
        <v>3334</v>
      </c>
      <c r="D398" s="399">
        <v>38460.07</v>
      </c>
      <c r="E398" s="399">
        <v>0</v>
      </c>
      <c r="F398" s="399">
        <v>0</v>
      </c>
      <c r="G398" s="524">
        <f t="shared" si="29"/>
        <v>38460.07</v>
      </c>
      <c r="H398" s="400">
        <f>SUMIF('Trans Line Reconciliation'!$B$5:$B$84,$B398,'Trans Line Reconciliation'!$M$5:$M$84)</f>
        <v>0</v>
      </c>
      <c r="I398" s="417">
        <f>SUMIF('Trans Line Reconciliation'!$B$5:$B$84,$B398,'Trans Line Reconciliation'!$N$5:$N$84)</f>
        <v>0</v>
      </c>
      <c r="J398" s="417">
        <f>SUMIF('Trans Line Reconciliation'!$B$5:$B$84,$B398,'Trans Line Reconciliation'!$O$5:$O$84)</f>
        <v>0</v>
      </c>
      <c r="K398" s="400">
        <f>SUMIF('Trans Line Reconciliation'!$B$5:$B$84,$B398,'Trans Line Reconciliation'!$P$5:$P$84)</f>
        <v>38460.07</v>
      </c>
      <c r="L398" s="417">
        <f>SUMIF('Trans Line Reconciliation'!$B$5:$B$84,$B398,'Trans Line Reconciliation'!$Q$5:$Q$84)</f>
        <v>0</v>
      </c>
      <c r="M398" s="417">
        <f>SUMIF('Trans Line Reconciliation'!$B$5:$B$84,$B398,'Trans Line Reconciliation'!$R$5:$R$84)</f>
        <v>0</v>
      </c>
      <c r="N398" s="398" t="s">
        <v>2248</v>
      </c>
      <c r="O398" s="398"/>
      <c r="P398" s="403">
        <f>SUMIF('Antelope Bailey Split BA'!$B$7:$B$29,B398,'Antelope Bailey Split BA'!$C$7:$C$29)</f>
        <v>0</v>
      </c>
      <c r="Q398" s="403" t="str">
        <f>IF(AND(P398=1,'Plant Total by Account'!$H$1=2),"EKWRA","")</f>
        <v/>
      </c>
      <c r="S398" s="403">
        <f>SUMIF('ISO w_System Splits'!$D$524:$D$615,B398,'ISO w_System Splits'!$P$524:$P$615)</f>
        <v>0</v>
      </c>
      <c r="T398" s="403" t="str">
        <f>IF(AND(S398&lt;&gt;0,'Plant Total by Account'!$H$1=2),"EKWRA TL Change","")</f>
        <v/>
      </c>
      <c r="V398" s="77">
        <v>4129</v>
      </c>
      <c r="W398" s="404">
        <f t="shared" si="30"/>
        <v>0</v>
      </c>
    </row>
    <row r="399" spans="1:23" ht="12.75" customHeight="1" x14ac:dyDescent="0.2">
      <c r="A399" s="386" t="s">
        <v>1323</v>
      </c>
      <c r="B399" s="398" t="s">
        <v>2197</v>
      </c>
      <c r="C399" s="398" t="s">
        <v>3330</v>
      </c>
      <c r="D399" s="399">
        <v>157989.61000000002</v>
      </c>
      <c r="E399" s="399">
        <v>0</v>
      </c>
      <c r="F399" s="399">
        <v>0</v>
      </c>
      <c r="G399" s="524">
        <f t="shared" si="29"/>
        <v>157989.61000000002</v>
      </c>
      <c r="H399" s="400">
        <f>SUMIF('Trans Line Reconciliation'!$B$5:$B$84,$B399,'Trans Line Reconciliation'!$M$5:$M$84)</f>
        <v>157989.61000000002</v>
      </c>
      <c r="I399" s="417">
        <f>SUMIF('Trans Line Reconciliation'!$B$5:$B$84,$B399,'Trans Line Reconciliation'!$N$5:$N$84)</f>
        <v>0</v>
      </c>
      <c r="J399" s="417">
        <f>SUMIF('Trans Line Reconciliation'!$B$5:$B$84,$B399,'Trans Line Reconciliation'!$O$5:$O$84)</f>
        <v>0</v>
      </c>
      <c r="K399" s="400">
        <f>SUMIF('Trans Line Reconciliation'!$B$5:$B$84,$B399,'Trans Line Reconciliation'!$P$5:$P$84)</f>
        <v>0</v>
      </c>
      <c r="L399" s="417">
        <f>SUMIF('Trans Line Reconciliation'!$B$5:$B$84,$B399,'Trans Line Reconciliation'!$Q$5:$Q$84)</f>
        <v>0</v>
      </c>
      <c r="M399" s="417">
        <f>SUMIF('Trans Line Reconciliation'!$B$5:$B$84,$B399,'Trans Line Reconciliation'!$R$5:$R$84)</f>
        <v>0</v>
      </c>
      <c r="N399" s="398" t="s">
        <v>2248</v>
      </c>
      <c r="O399" s="398"/>
      <c r="P399" s="403">
        <f>SUMIF('Antelope Bailey Split BA'!$B$7:$B$29,B399,'Antelope Bailey Split BA'!$C$7:$C$29)</f>
        <v>0</v>
      </c>
      <c r="Q399" s="403" t="str">
        <f>IF(AND(P399=1,'Plant Total by Account'!$H$1=2),"EKWRA","")</f>
        <v/>
      </c>
      <c r="S399" s="403">
        <f>SUMIF('ISO w_System Splits'!$D$524:$D$615,B399,'ISO w_System Splits'!$P$524:$P$615)</f>
        <v>0</v>
      </c>
      <c r="T399" s="403" t="str">
        <f>IF(AND(S399&lt;&gt;0,'Plant Total by Account'!$H$1=2),"EKWRA TL Change","")</f>
        <v/>
      </c>
      <c r="V399" s="77">
        <v>4130</v>
      </c>
      <c r="W399" s="404">
        <f t="shared" si="30"/>
        <v>0</v>
      </c>
    </row>
    <row r="400" spans="1:23" ht="12.75" customHeight="1" x14ac:dyDescent="0.2">
      <c r="A400" s="386" t="s">
        <v>511</v>
      </c>
      <c r="B400" s="398" t="s">
        <v>2198</v>
      </c>
      <c r="C400" s="398"/>
      <c r="D400" s="399">
        <v>3146.16</v>
      </c>
      <c r="E400" s="399">
        <v>0</v>
      </c>
      <c r="F400" s="399">
        <v>0</v>
      </c>
      <c r="G400" s="524">
        <f t="shared" si="29"/>
        <v>3146.16</v>
      </c>
      <c r="H400" s="400">
        <f>SUMIF('Trans Line Reconciliation'!$B$5:$B$84,$B400,'Trans Line Reconciliation'!$M$5:$M$84)</f>
        <v>3132.068757508694</v>
      </c>
      <c r="I400" s="417">
        <f>SUMIF('Trans Line Reconciliation'!$B$5:$B$84,$B400,'Trans Line Reconciliation'!$N$5:$N$84)</f>
        <v>0</v>
      </c>
      <c r="J400" s="417">
        <f>SUMIF('Trans Line Reconciliation'!$B$5:$B$84,$B400,'Trans Line Reconciliation'!$O$5:$O$84)</f>
        <v>0</v>
      </c>
      <c r="K400" s="400">
        <f>SUMIF('Trans Line Reconciliation'!$B$5:$B$84,$B400,'Trans Line Reconciliation'!$P$5:$P$84)</f>
        <v>14.09124249130582</v>
      </c>
      <c r="L400" s="417">
        <f>SUMIF('Trans Line Reconciliation'!$B$5:$B$84,$B400,'Trans Line Reconciliation'!$Q$5:$Q$84)</f>
        <v>0</v>
      </c>
      <c r="M400" s="417">
        <f>SUMIF('Trans Line Reconciliation'!$B$5:$B$84,$B400,'Trans Line Reconciliation'!$R$5:$R$84)</f>
        <v>0</v>
      </c>
      <c r="N400" s="398" t="s">
        <v>2248</v>
      </c>
      <c r="O400" s="398"/>
      <c r="P400" s="403">
        <f>SUMIF('Antelope Bailey Split BA'!$B$7:$B$29,B400,'Antelope Bailey Split BA'!$C$7:$C$29)</f>
        <v>0</v>
      </c>
      <c r="Q400" s="403" t="str">
        <f>IF(AND(P400=1,'Plant Total by Account'!$H$1=2),"EKWRA","")</f>
        <v/>
      </c>
      <c r="S400" s="403">
        <f>SUMIF('ISO w_System Splits'!$D$524:$D$615,B400,'ISO w_System Splits'!$P$524:$P$615)</f>
        <v>141064.66712825376</v>
      </c>
      <c r="T400" s="403" t="str">
        <f>IF(AND(S400&lt;&gt;0,'Plant Total by Account'!$H$1=2),"EKWRA TL Change","")</f>
        <v>EKWRA TL Change</v>
      </c>
      <c r="V400" s="77">
        <v>4132</v>
      </c>
      <c r="W400" s="404">
        <f t="shared" si="30"/>
        <v>0</v>
      </c>
    </row>
    <row r="401" spans="1:23" ht="12.75" customHeight="1" x14ac:dyDescent="0.2">
      <c r="A401" s="386" t="s">
        <v>512</v>
      </c>
      <c r="B401" s="398" t="s">
        <v>2199</v>
      </c>
      <c r="C401" s="398" t="s">
        <v>3334</v>
      </c>
      <c r="D401" s="399">
        <v>53165.170000000006</v>
      </c>
      <c r="E401" s="399">
        <v>0</v>
      </c>
      <c r="F401" s="399">
        <v>0</v>
      </c>
      <c r="G401" s="524">
        <f t="shared" si="29"/>
        <v>53165.170000000006</v>
      </c>
      <c r="H401" s="400">
        <f>SUMIF('Trans Line Reconciliation'!$B$5:$B$84,$B401,'Trans Line Reconciliation'!$M$5:$M$84)</f>
        <v>0</v>
      </c>
      <c r="I401" s="417">
        <f>SUMIF('Trans Line Reconciliation'!$B$5:$B$84,$B401,'Trans Line Reconciliation'!$N$5:$N$84)</f>
        <v>0</v>
      </c>
      <c r="J401" s="417">
        <f>SUMIF('Trans Line Reconciliation'!$B$5:$B$84,$B401,'Trans Line Reconciliation'!$O$5:$O$84)</f>
        <v>0</v>
      </c>
      <c r="K401" s="400">
        <f>SUMIF('Trans Line Reconciliation'!$B$5:$B$84,$B401,'Trans Line Reconciliation'!$P$5:$P$84)</f>
        <v>53165.170000000006</v>
      </c>
      <c r="L401" s="417">
        <f>SUMIF('Trans Line Reconciliation'!$B$5:$B$84,$B401,'Trans Line Reconciliation'!$Q$5:$Q$84)</f>
        <v>0</v>
      </c>
      <c r="M401" s="417">
        <f>SUMIF('Trans Line Reconciliation'!$B$5:$B$84,$B401,'Trans Line Reconciliation'!$R$5:$R$84)</f>
        <v>0</v>
      </c>
      <c r="N401" s="398" t="s">
        <v>2248</v>
      </c>
      <c r="O401" s="398"/>
      <c r="P401" s="403">
        <f>SUMIF('Antelope Bailey Split BA'!$B$7:$B$29,B401,'Antelope Bailey Split BA'!$C$7:$C$29)</f>
        <v>0</v>
      </c>
      <c r="Q401" s="403" t="str">
        <f>IF(AND(P401=1,'Plant Total by Account'!$H$1=2),"EKWRA","")</f>
        <v/>
      </c>
      <c r="S401" s="403">
        <f>SUMIF('ISO w_System Splits'!$D$524:$D$615,B401,'ISO w_System Splits'!$P$524:$P$615)</f>
        <v>0</v>
      </c>
      <c r="T401" s="403" t="str">
        <f>IF(AND(S401&lt;&gt;0,'Plant Total by Account'!$H$1=2),"EKWRA TL Change","")</f>
        <v/>
      </c>
      <c r="V401" s="77">
        <v>4133</v>
      </c>
      <c r="W401" s="404">
        <f t="shared" si="30"/>
        <v>0</v>
      </c>
    </row>
    <row r="402" spans="1:23" ht="12.75" customHeight="1" x14ac:dyDescent="0.2">
      <c r="A402" s="386" t="s">
        <v>513</v>
      </c>
      <c r="B402" s="398" t="s">
        <v>2200</v>
      </c>
      <c r="C402" s="398"/>
      <c r="D402" s="399">
        <v>2211888.9</v>
      </c>
      <c r="E402" s="399">
        <v>0</v>
      </c>
      <c r="F402" s="399">
        <v>0</v>
      </c>
      <c r="G402" s="524">
        <f t="shared" si="29"/>
        <v>2211888.9</v>
      </c>
      <c r="H402" s="400">
        <f>SUMIF('Trans Line Reconciliation'!$B$5:$B$84,$B402,'Trans Line Reconciliation'!$M$5:$M$84)</f>
        <v>1443554.0104040431</v>
      </c>
      <c r="I402" s="417">
        <f>SUMIF('Trans Line Reconciliation'!$B$5:$B$84,$B402,'Trans Line Reconciliation'!$N$5:$N$84)</f>
        <v>0</v>
      </c>
      <c r="J402" s="417">
        <f>SUMIF('Trans Line Reconciliation'!$B$5:$B$84,$B402,'Trans Line Reconciliation'!$O$5:$O$84)</f>
        <v>0</v>
      </c>
      <c r="K402" s="400">
        <f>SUMIF('Trans Line Reconciliation'!$B$5:$B$84,$B402,'Trans Line Reconciliation'!$P$5:$P$84)</f>
        <v>768334.88959595677</v>
      </c>
      <c r="L402" s="417">
        <f>SUMIF('Trans Line Reconciliation'!$B$5:$B$84,$B402,'Trans Line Reconciliation'!$Q$5:$Q$84)</f>
        <v>0</v>
      </c>
      <c r="M402" s="417">
        <f>SUMIF('Trans Line Reconciliation'!$B$5:$B$84,$B402,'Trans Line Reconciliation'!$R$5:$R$84)</f>
        <v>0</v>
      </c>
      <c r="N402" s="398" t="s">
        <v>2248</v>
      </c>
      <c r="O402" s="398"/>
      <c r="P402" s="403">
        <f>SUMIF('Antelope Bailey Split BA'!$B$7:$B$29,B402,'Antelope Bailey Split BA'!$C$7:$C$29)</f>
        <v>0</v>
      </c>
      <c r="Q402" s="403" t="str">
        <f>IF(AND(P402=1,'Plant Total by Account'!$H$1=2),"EKWRA","")</f>
        <v/>
      </c>
      <c r="S402" s="403">
        <f>SUMIF('ISO w_System Splits'!$D$524:$D$615,B402,'ISO w_System Splits'!$P$524:$P$615)</f>
        <v>0</v>
      </c>
      <c r="T402" s="403" t="str">
        <f>IF(AND(S402&lt;&gt;0,'Plant Total by Account'!$H$1=2),"EKWRA TL Change","")</f>
        <v/>
      </c>
      <c r="V402" s="77">
        <v>4135</v>
      </c>
      <c r="W402" s="404">
        <f t="shared" si="30"/>
        <v>0</v>
      </c>
    </row>
    <row r="403" spans="1:23" ht="12.75" customHeight="1" x14ac:dyDescent="0.2">
      <c r="A403" s="386" t="s">
        <v>1324</v>
      </c>
      <c r="B403" s="398" t="s">
        <v>2201</v>
      </c>
      <c r="C403" s="398" t="s">
        <v>3330</v>
      </c>
      <c r="D403" s="399">
        <v>1330373</v>
      </c>
      <c r="E403" s="399">
        <v>0</v>
      </c>
      <c r="F403" s="399">
        <v>0</v>
      </c>
      <c r="G403" s="524">
        <f t="shared" si="29"/>
        <v>1330373</v>
      </c>
      <c r="H403" s="400">
        <f>SUMIF('Trans Line Reconciliation'!$B$5:$B$84,$B403,'Trans Line Reconciliation'!$M$5:$M$84)</f>
        <v>1330373</v>
      </c>
      <c r="I403" s="417">
        <f>SUMIF('Trans Line Reconciliation'!$B$5:$B$84,$B403,'Trans Line Reconciliation'!$N$5:$N$84)</f>
        <v>0</v>
      </c>
      <c r="J403" s="417">
        <f>SUMIF('Trans Line Reconciliation'!$B$5:$B$84,$B403,'Trans Line Reconciliation'!$O$5:$O$84)</f>
        <v>0</v>
      </c>
      <c r="K403" s="400">
        <f>SUMIF('Trans Line Reconciliation'!$B$5:$B$84,$B403,'Trans Line Reconciliation'!$P$5:$P$84)</f>
        <v>0</v>
      </c>
      <c r="L403" s="417">
        <f>SUMIF('Trans Line Reconciliation'!$B$5:$B$84,$B403,'Trans Line Reconciliation'!$Q$5:$Q$84)</f>
        <v>0</v>
      </c>
      <c r="M403" s="417">
        <f>SUMIF('Trans Line Reconciliation'!$B$5:$B$84,$B403,'Trans Line Reconciliation'!$R$5:$R$84)</f>
        <v>0</v>
      </c>
      <c r="N403" s="398" t="s">
        <v>2248</v>
      </c>
      <c r="O403" s="398"/>
      <c r="P403" s="403">
        <f>SUMIF('Antelope Bailey Split BA'!$B$7:$B$29,B403,'Antelope Bailey Split BA'!$C$7:$C$29)</f>
        <v>0</v>
      </c>
      <c r="Q403" s="403" t="str">
        <f>IF(AND(P403=1,'Plant Total by Account'!$H$1=2),"EKWRA","")</f>
        <v/>
      </c>
      <c r="S403" s="403">
        <f>SUMIF('ISO w_System Splits'!$D$524:$D$615,B403,'ISO w_System Splits'!$P$524:$P$615)</f>
        <v>0</v>
      </c>
      <c r="T403" s="403" t="str">
        <f>IF(AND(S403&lt;&gt;0,'Plant Total by Account'!$H$1=2),"EKWRA TL Change","")</f>
        <v/>
      </c>
      <c r="V403" s="77">
        <v>4136</v>
      </c>
      <c r="W403" s="404">
        <f t="shared" si="30"/>
        <v>0</v>
      </c>
    </row>
    <row r="404" spans="1:23" ht="12.75" customHeight="1" x14ac:dyDescent="0.2">
      <c r="A404" s="386" t="s">
        <v>1324</v>
      </c>
      <c r="B404" s="398" t="s">
        <v>2202</v>
      </c>
      <c r="C404" s="398" t="s">
        <v>3330</v>
      </c>
      <c r="D404" s="399">
        <v>16589.080000000002</v>
      </c>
      <c r="E404" s="399">
        <v>0</v>
      </c>
      <c r="F404" s="399">
        <v>0</v>
      </c>
      <c r="G404" s="524">
        <f t="shared" si="29"/>
        <v>16589.080000000002</v>
      </c>
      <c r="H404" s="400">
        <f>SUMIF('Trans Line Reconciliation'!$B$5:$B$84,$B404,'Trans Line Reconciliation'!$M$5:$M$84)</f>
        <v>16589.080000000002</v>
      </c>
      <c r="I404" s="417">
        <f>SUMIF('Trans Line Reconciliation'!$B$5:$B$84,$B404,'Trans Line Reconciliation'!$N$5:$N$84)</f>
        <v>0</v>
      </c>
      <c r="J404" s="417">
        <f>SUMIF('Trans Line Reconciliation'!$B$5:$B$84,$B404,'Trans Line Reconciliation'!$O$5:$O$84)</f>
        <v>0</v>
      </c>
      <c r="K404" s="400">
        <f>SUMIF('Trans Line Reconciliation'!$B$5:$B$84,$B404,'Trans Line Reconciliation'!$P$5:$P$84)</f>
        <v>0</v>
      </c>
      <c r="L404" s="417">
        <f>SUMIF('Trans Line Reconciliation'!$B$5:$B$84,$B404,'Trans Line Reconciliation'!$Q$5:$Q$84)</f>
        <v>0</v>
      </c>
      <c r="M404" s="417">
        <f>SUMIF('Trans Line Reconciliation'!$B$5:$B$84,$B404,'Trans Line Reconciliation'!$R$5:$R$84)</f>
        <v>0</v>
      </c>
      <c r="N404" s="398" t="s">
        <v>2248</v>
      </c>
      <c r="O404" s="398"/>
      <c r="P404" s="403">
        <f>SUMIF('Antelope Bailey Split BA'!$B$7:$B$29,B404,'Antelope Bailey Split BA'!$C$7:$C$29)</f>
        <v>0</v>
      </c>
      <c r="Q404" s="403" t="str">
        <f>IF(AND(P404=1,'Plant Total by Account'!$H$1=2),"EKWRA","")</f>
        <v/>
      </c>
      <c r="S404" s="403">
        <f>SUMIF('ISO w_System Splits'!$D$524:$D$615,B404,'ISO w_System Splits'!$P$524:$P$615)</f>
        <v>0</v>
      </c>
      <c r="T404" s="403" t="str">
        <f>IF(AND(S404&lt;&gt;0,'Plant Total by Account'!$H$1=2),"EKWRA TL Change","")</f>
        <v/>
      </c>
      <c r="V404" s="77">
        <v>4137</v>
      </c>
      <c r="W404" s="404">
        <f t="shared" si="30"/>
        <v>0</v>
      </c>
    </row>
    <row r="405" spans="1:23" ht="12.75" customHeight="1" x14ac:dyDescent="0.2">
      <c r="A405" s="386" t="s">
        <v>2320</v>
      </c>
      <c r="B405" s="398" t="s">
        <v>1097</v>
      </c>
      <c r="C405" s="398" t="s">
        <v>3330</v>
      </c>
      <c r="D405" s="399">
        <v>9600704.3000000007</v>
      </c>
      <c r="E405" s="399">
        <v>0</v>
      </c>
      <c r="F405" s="399">
        <v>98.19</v>
      </c>
      <c r="G405" s="524">
        <f t="shared" si="29"/>
        <v>9600802.4900000002</v>
      </c>
      <c r="H405" s="400">
        <f>SUMIF('Trans Line Reconciliation'!$B$5:$B$84,$B405,'Trans Line Reconciliation'!$M$5:$M$84)</f>
        <v>9605387.3200000003</v>
      </c>
      <c r="I405" s="417">
        <f>SUMIF('Trans Line Reconciliation'!$B$5:$B$84,$B405,'Trans Line Reconciliation'!$N$5:$N$84)</f>
        <v>0</v>
      </c>
      <c r="J405" s="417">
        <f>SUMIF('Trans Line Reconciliation'!$B$5:$B$84,$B405,'Trans Line Reconciliation'!$O$5:$O$84)</f>
        <v>98.189999999999984</v>
      </c>
      <c r="K405" s="400">
        <f>SUMIF('Trans Line Reconciliation'!$B$5:$B$84,$B405,'Trans Line Reconciliation'!$P$5:$P$84)</f>
        <v>-4683.019999999553</v>
      </c>
      <c r="L405" s="417">
        <f>SUMIF('Trans Line Reconciliation'!$B$5:$B$84,$B405,'Trans Line Reconciliation'!$Q$5:$Q$84)</f>
        <v>0</v>
      </c>
      <c r="M405" s="417">
        <f>SUMIF('Trans Line Reconciliation'!$B$5:$B$84,$B405,'Trans Line Reconciliation'!$R$5:$R$84)</f>
        <v>0</v>
      </c>
      <c r="N405" s="398" t="s">
        <v>2248</v>
      </c>
      <c r="O405" s="398"/>
      <c r="P405" s="403">
        <f>SUMIF('Antelope Bailey Split BA'!$B$7:$B$29,B405,'Antelope Bailey Split BA'!$C$7:$C$29)</f>
        <v>0</v>
      </c>
      <c r="Q405" s="403" t="str">
        <f>IF(AND(P405=1,'Plant Total by Account'!$H$1=2),"EKWRA","")</f>
        <v/>
      </c>
      <c r="S405" s="403">
        <f>SUMIF('ISO w_System Splits'!$D$524:$D$615,B405,'ISO w_System Splits'!$P$524:$P$615)</f>
        <v>0</v>
      </c>
      <c r="T405" s="403" t="str">
        <f>IF(AND(S405&lt;&gt;0,'Plant Total by Account'!$H$1=2),"EKWRA TL Change","")</f>
        <v/>
      </c>
      <c r="V405" s="77">
        <v>4138</v>
      </c>
      <c r="W405" s="404">
        <f t="shared" si="30"/>
        <v>0</v>
      </c>
    </row>
    <row r="406" spans="1:23" ht="12.75" customHeight="1" x14ac:dyDescent="0.2">
      <c r="A406" s="386" t="s">
        <v>514</v>
      </c>
      <c r="B406" s="398" t="s">
        <v>2203</v>
      </c>
      <c r="C406" s="398" t="s">
        <v>3334</v>
      </c>
      <c r="D406" s="399">
        <v>516.81000000000006</v>
      </c>
      <c r="E406" s="399">
        <v>0</v>
      </c>
      <c r="F406" s="399">
        <v>0</v>
      </c>
      <c r="G406" s="524">
        <f t="shared" si="29"/>
        <v>516.81000000000006</v>
      </c>
      <c r="H406" s="400">
        <f>SUMIF('Trans Line Reconciliation'!$B$5:$B$84,$B406,'Trans Line Reconciliation'!$M$5:$M$84)</f>
        <v>0</v>
      </c>
      <c r="I406" s="417">
        <f>SUMIF('Trans Line Reconciliation'!$B$5:$B$84,$B406,'Trans Line Reconciliation'!$N$5:$N$84)</f>
        <v>0</v>
      </c>
      <c r="J406" s="417">
        <f>SUMIF('Trans Line Reconciliation'!$B$5:$B$84,$B406,'Trans Line Reconciliation'!$O$5:$O$84)</f>
        <v>0</v>
      </c>
      <c r="K406" s="400">
        <f>SUMIF('Trans Line Reconciliation'!$B$5:$B$84,$B406,'Trans Line Reconciliation'!$P$5:$P$84)</f>
        <v>516.81000000000006</v>
      </c>
      <c r="L406" s="417">
        <f>SUMIF('Trans Line Reconciliation'!$B$5:$B$84,$B406,'Trans Line Reconciliation'!$Q$5:$Q$84)</f>
        <v>0</v>
      </c>
      <c r="M406" s="417">
        <f>SUMIF('Trans Line Reconciliation'!$B$5:$B$84,$B406,'Trans Line Reconciliation'!$R$5:$R$84)</f>
        <v>0</v>
      </c>
      <c r="N406" s="398" t="s">
        <v>2248</v>
      </c>
      <c r="O406" s="398"/>
      <c r="P406" s="403">
        <f>SUMIF('Antelope Bailey Split BA'!$B$7:$B$29,B406,'Antelope Bailey Split BA'!$C$7:$C$29)</f>
        <v>0</v>
      </c>
      <c r="Q406" s="403" t="str">
        <f>IF(AND(P406=1,'Plant Total by Account'!$H$1=2),"EKWRA","")</f>
        <v/>
      </c>
      <c r="S406" s="403">
        <f>SUMIF('ISO w_System Splits'!$D$524:$D$615,B406,'ISO w_System Splits'!$P$524:$P$615)</f>
        <v>0</v>
      </c>
      <c r="T406" s="403" t="str">
        <f>IF(AND(S406&lt;&gt;0,'Plant Total by Account'!$H$1=2),"EKWRA TL Change","")</f>
        <v/>
      </c>
      <c r="V406" s="77">
        <v>4139</v>
      </c>
      <c r="W406" s="404">
        <f t="shared" si="30"/>
        <v>0</v>
      </c>
    </row>
    <row r="407" spans="1:23" ht="12.75" customHeight="1" x14ac:dyDescent="0.2">
      <c r="A407" s="386" t="s">
        <v>1325</v>
      </c>
      <c r="B407" s="398" t="s">
        <v>2204</v>
      </c>
      <c r="C407" s="398" t="s">
        <v>3330</v>
      </c>
      <c r="D407" s="399">
        <v>278111.81</v>
      </c>
      <c r="E407" s="399">
        <v>0</v>
      </c>
      <c r="F407" s="399">
        <v>0</v>
      </c>
      <c r="G407" s="524">
        <f t="shared" si="29"/>
        <v>278111.81</v>
      </c>
      <c r="H407" s="400">
        <f>SUMIF('Trans Line Reconciliation'!$B$5:$B$84,$B407,'Trans Line Reconciliation'!$M$5:$M$84)</f>
        <v>278111.81</v>
      </c>
      <c r="I407" s="417">
        <f>SUMIF('Trans Line Reconciliation'!$B$5:$B$84,$B407,'Trans Line Reconciliation'!$N$5:$N$84)</f>
        <v>0</v>
      </c>
      <c r="J407" s="417">
        <f>SUMIF('Trans Line Reconciliation'!$B$5:$B$84,$B407,'Trans Line Reconciliation'!$O$5:$O$84)</f>
        <v>0</v>
      </c>
      <c r="K407" s="400">
        <f>SUMIF('Trans Line Reconciliation'!$B$5:$B$84,$B407,'Trans Line Reconciliation'!$P$5:$P$84)</f>
        <v>0</v>
      </c>
      <c r="L407" s="417">
        <f>SUMIF('Trans Line Reconciliation'!$B$5:$B$84,$B407,'Trans Line Reconciliation'!$Q$5:$Q$84)</f>
        <v>0</v>
      </c>
      <c r="M407" s="417">
        <f>SUMIF('Trans Line Reconciliation'!$B$5:$B$84,$B407,'Trans Line Reconciliation'!$R$5:$R$84)</f>
        <v>0</v>
      </c>
      <c r="N407" s="398" t="s">
        <v>2248</v>
      </c>
      <c r="O407" s="398"/>
      <c r="P407" s="403">
        <f>SUMIF('Antelope Bailey Split BA'!$B$7:$B$29,B407,'Antelope Bailey Split BA'!$C$7:$C$29)</f>
        <v>0</v>
      </c>
      <c r="Q407" s="403" t="str">
        <f>IF(AND(P407=1,'Plant Total by Account'!$H$1=2),"EKWRA","")</f>
        <v/>
      </c>
      <c r="S407" s="403">
        <f>SUMIF('ISO w_System Splits'!$D$524:$D$615,B407,'ISO w_System Splits'!$P$524:$P$615)</f>
        <v>0</v>
      </c>
      <c r="T407" s="403" t="str">
        <f>IF(AND(S407&lt;&gt;0,'Plant Total by Account'!$H$1=2),"EKWRA TL Change","")</f>
        <v/>
      </c>
      <c r="V407" s="77">
        <v>4140</v>
      </c>
      <c r="W407" s="404">
        <f t="shared" si="30"/>
        <v>0</v>
      </c>
    </row>
    <row r="408" spans="1:23" ht="12.75" customHeight="1" x14ac:dyDescent="0.2">
      <c r="A408" s="386" t="s">
        <v>1326</v>
      </c>
      <c r="B408" s="398" t="s">
        <v>2205</v>
      </c>
      <c r="C408" s="398" t="s">
        <v>3330</v>
      </c>
      <c r="D408" s="399">
        <v>76199.12</v>
      </c>
      <c r="E408" s="399">
        <v>0</v>
      </c>
      <c r="F408" s="399">
        <v>0</v>
      </c>
      <c r="G408" s="524">
        <f t="shared" si="29"/>
        <v>76199.12</v>
      </c>
      <c r="H408" s="400">
        <f>SUMIF('Trans Line Reconciliation'!$B$5:$B$84,$B408,'Trans Line Reconciliation'!$M$5:$M$84)</f>
        <v>76199.12</v>
      </c>
      <c r="I408" s="417">
        <f>SUMIF('Trans Line Reconciliation'!$B$5:$B$84,$B408,'Trans Line Reconciliation'!$N$5:$N$84)</f>
        <v>0</v>
      </c>
      <c r="J408" s="417">
        <f>SUMIF('Trans Line Reconciliation'!$B$5:$B$84,$B408,'Trans Line Reconciliation'!$O$5:$O$84)</f>
        <v>0</v>
      </c>
      <c r="K408" s="400">
        <f>SUMIF('Trans Line Reconciliation'!$B$5:$B$84,$B408,'Trans Line Reconciliation'!$P$5:$P$84)</f>
        <v>0</v>
      </c>
      <c r="L408" s="417">
        <f>SUMIF('Trans Line Reconciliation'!$B$5:$B$84,$B408,'Trans Line Reconciliation'!$Q$5:$Q$84)</f>
        <v>0</v>
      </c>
      <c r="M408" s="417">
        <f>SUMIF('Trans Line Reconciliation'!$B$5:$B$84,$B408,'Trans Line Reconciliation'!$R$5:$R$84)</f>
        <v>0</v>
      </c>
      <c r="N408" s="398" t="s">
        <v>2248</v>
      </c>
      <c r="O408" s="398"/>
      <c r="P408" s="403">
        <f>SUMIF('Antelope Bailey Split BA'!$B$7:$B$29,B408,'Antelope Bailey Split BA'!$C$7:$C$29)</f>
        <v>0</v>
      </c>
      <c r="Q408" s="403" t="str">
        <f>IF(AND(P408=1,'Plant Total by Account'!$H$1=2),"EKWRA","")</f>
        <v/>
      </c>
      <c r="S408" s="403">
        <f>SUMIF('ISO w_System Splits'!$D$524:$D$615,B408,'ISO w_System Splits'!$P$524:$P$615)</f>
        <v>0</v>
      </c>
      <c r="T408" s="403" t="str">
        <f>IF(AND(S408&lt;&gt;0,'Plant Total by Account'!$H$1=2),"EKWRA TL Change","")</f>
        <v/>
      </c>
      <c r="V408" s="77">
        <v>4141</v>
      </c>
      <c r="W408" s="404">
        <f t="shared" si="30"/>
        <v>0</v>
      </c>
    </row>
    <row r="409" spans="1:23" ht="12.75" customHeight="1" x14ac:dyDescent="0.2">
      <c r="A409" s="386" t="s">
        <v>515</v>
      </c>
      <c r="B409" s="398" t="s">
        <v>2206</v>
      </c>
      <c r="C409" s="398" t="s">
        <v>3334</v>
      </c>
      <c r="D409" s="399">
        <v>25409.4</v>
      </c>
      <c r="E409" s="399">
        <v>0</v>
      </c>
      <c r="F409" s="399">
        <v>0</v>
      </c>
      <c r="G409" s="524">
        <f t="shared" si="29"/>
        <v>25409.4</v>
      </c>
      <c r="H409" s="400">
        <f>SUMIF('Trans Line Reconciliation'!$B$5:$B$84,$B409,'Trans Line Reconciliation'!$M$5:$M$84)</f>
        <v>0</v>
      </c>
      <c r="I409" s="417">
        <f>SUMIF('Trans Line Reconciliation'!$B$5:$B$84,$B409,'Trans Line Reconciliation'!$N$5:$N$84)</f>
        <v>0</v>
      </c>
      <c r="J409" s="417">
        <f>SUMIF('Trans Line Reconciliation'!$B$5:$B$84,$B409,'Trans Line Reconciliation'!$O$5:$O$84)</f>
        <v>0</v>
      </c>
      <c r="K409" s="400">
        <f>SUMIF('Trans Line Reconciliation'!$B$5:$B$84,$B409,'Trans Line Reconciliation'!$P$5:$P$84)</f>
        <v>25409.4</v>
      </c>
      <c r="L409" s="417">
        <f>SUMIF('Trans Line Reconciliation'!$B$5:$B$84,$B409,'Trans Line Reconciliation'!$Q$5:$Q$84)</f>
        <v>0</v>
      </c>
      <c r="M409" s="417">
        <f>SUMIF('Trans Line Reconciliation'!$B$5:$B$84,$B409,'Trans Line Reconciliation'!$R$5:$R$84)</f>
        <v>0</v>
      </c>
      <c r="N409" s="398" t="s">
        <v>2248</v>
      </c>
      <c r="O409" s="398"/>
      <c r="P409" s="403">
        <f>SUMIF('Antelope Bailey Split BA'!$B$7:$B$29,B409,'Antelope Bailey Split BA'!$C$7:$C$29)</f>
        <v>0</v>
      </c>
      <c r="Q409" s="403" t="str">
        <f>IF(AND(P409=1,'Plant Total by Account'!$H$1=2),"EKWRA","")</f>
        <v/>
      </c>
      <c r="S409" s="403">
        <f>SUMIF('ISO w_System Splits'!$D$524:$D$615,B409,'ISO w_System Splits'!$P$524:$P$615)</f>
        <v>0</v>
      </c>
      <c r="T409" s="403" t="str">
        <f>IF(AND(S409&lt;&gt;0,'Plant Total by Account'!$H$1=2),"EKWRA TL Change","")</f>
        <v/>
      </c>
      <c r="V409" s="77">
        <v>4142</v>
      </c>
      <c r="W409" s="404">
        <f t="shared" si="30"/>
        <v>0</v>
      </c>
    </row>
    <row r="410" spans="1:23" ht="12.75" customHeight="1" x14ac:dyDescent="0.2">
      <c r="A410" s="386" t="s">
        <v>1327</v>
      </c>
      <c r="B410" s="398" t="s">
        <v>2207</v>
      </c>
      <c r="C410" s="398" t="s">
        <v>3330</v>
      </c>
      <c r="D410" s="399">
        <v>6166.88</v>
      </c>
      <c r="E410" s="399">
        <v>0</v>
      </c>
      <c r="F410" s="399">
        <v>0</v>
      </c>
      <c r="G410" s="524">
        <f t="shared" si="29"/>
        <v>6166.88</v>
      </c>
      <c r="H410" s="400">
        <f>SUMIF('Trans Line Reconciliation'!$B$5:$B$84,$B410,'Trans Line Reconciliation'!$M$5:$M$84)</f>
        <v>6166.88</v>
      </c>
      <c r="I410" s="417">
        <f>SUMIF('Trans Line Reconciliation'!$B$5:$B$84,$B410,'Trans Line Reconciliation'!$N$5:$N$84)</f>
        <v>0</v>
      </c>
      <c r="J410" s="417">
        <f>SUMIF('Trans Line Reconciliation'!$B$5:$B$84,$B410,'Trans Line Reconciliation'!$O$5:$O$84)</f>
        <v>0</v>
      </c>
      <c r="K410" s="400">
        <f>SUMIF('Trans Line Reconciliation'!$B$5:$B$84,$B410,'Trans Line Reconciliation'!$P$5:$P$84)</f>
        <v>0</v>
      </c>
      <c r="L410" s="417">
        <f>SUMIF('Trans Line Reconciliation'!$B$5:$B$84,$B410,'Trans Line Reconciliation'!$Q$5:$Q$84)</f>
        <v>0</v>
      </c>
      <c r="M410" s="417">
        <f>SUMIF('Trans Line Reconciliation'!$B$5:$B$84,$B410,'Trans Line Reconciliation'!$R$5:$R$84)</f>
        <v>0</v>
      </c>
      <c r="N410" s="398" t="s">
        <v>2248</v>
      </c>
      <c r="O410" s="398"/>
      <c r="P410" s="403">
        <f>SUMIF('Antelope Bailey Split BA'!$B$7:$B$29,B410,'Antelope Bailey Split BA'!$C$7:$C$29)</f>
        <v>0</v>
      </c>
      <c r="Q410" s="403" t="str">
        <f>IF(AND(P410=1,'Plant Total by Account'!$H$1=2),"EKWRA","")</f>
        <v/>
      </c>
      <c r="S410" s="403">
        <f>SUMIF('ISO w_System Splits'!$D$524:$D$615,B410,'ISO w_System Splits'!$P$524:$P$615)</f>
        <v>0</v>
      </c>
      <c r="T410" s="403" t="str">
        <f>IF(AND(S410&lt;&gt;0,'Plant Total by Account'!$H$1=2),"EKWRA TL Change","")</f>
        <v/>
      </c>
      <c r="V410" s="77">
        <v>4143</v>
      </c>
      <c r="W410" s="404">
        <f t="shared" si="30"/>
        <v>0</v>
      </c>
    </row>
    <row r="411" spans="1:23" ht="12.75" customHeight="1" x14ac:dyDescent="0.2">
      <c r="A411" s="386" t="s">
        <v>1328</v>
      </c>
      <c r="B411" s="398" t="s">
        <v>2208</v>
      </c>
      <c r="C411" s="398" t="s">
        <v>3331</v>
      </c>
      <c r="D411" s="399">
        <v>9993.51</v>
      </c>
      <c r="E411" s="399">
        <v>0</v>
      </c>
      <c r="F411" s="399">
        <v>0</v>
      </c>
      <c r="G411" s="524">
        <f t="shared" si="29"/>
        <v>9993.51</v>
      </c>
      <c r="H411" s="400">
        <f>SUMIF('Trans Line Reconciliation'!$B$5:$B$84,$B411,'Trans Line Reconciliation'!$M$5:$M$84)</f>
        <v>9993.5099999999984</v>
      </c>
      <c r="I411" s="417">
        <f>SUMIF('Trans Line Reconciliation'!$B$5:$B$84,$B411,'Trans Line Reconciliation'!$N$5:$N$84)</f>
        <v>0</v>
      </c>
      <c r="J411" s="417">
        <f>SUMIF('Trans Line Reconciliation'!$B$5:$B$84,$B411,'Trans Line Reconciliation'!$O$5:$O$84)</f>
        <v>0</v>
      </c>
      <c r="K411" s="400">
        <f>SUMIF('Trans Line Reconciliation'!$B$5:$B$84,$B411,'Trans Line Reconciliation'!$P$5:$P$84)</f>
        <v>0</v>
      </c>
      <c r="L411" s="417">
        <f>SUMIF('Trans Line Reconciliation'!$B$5:$B$84,$B411,'Trans Line Reconciliation'!$Q$5:$Q$84)</f>
        <v>0</v>
      </c>
      <c r="M411" s="417">
        <f>SUMIF('Trans Line Reconciliation'!$B$5:$B$84,$B411,'Trans Line Reconciliation'!$R$5:$R$84)</f>
        <v>0</v>
      </c>
      <c r="N411" s="398" t="s">
        <v>2248</v>
      </c>
      <c r="O411" s="398"/>
      <c r="P411" s="403">
        <f>SUMIF('Antelope Bailey Split BA'!$B$7:$B$29,B411,'Antelope Bailey Split BA'!$C$7:$C$29)</f>
        <v>0</v>
      </c>
      <c r="Q411" s="403" t="str">
        <f>IF(AND(P411=1,'Plant Total by Account'!$H$1=2),"EKWRA","")</f>
        <v/>
      </c>
      <c r="S411" s="403">
        <f>SUMIF('ISO w_System Splits'!$D$524:$D$615,B411,'ISO w_System Splits'!$P$524:$P$615)</f>
        <v>0</v>
      </c>
      <c r="T411" s="403" t="str">
        <f>IF(AND(S411&lt;&gt;0,'Plant Total by Account'!$H$1=2),"EKWRA TL Change","")</f>
        <v/>
      </c>
      <c r="V411" s="77">
        <v>4144</v>
      </c>
      <c r="W411" s="404">
        <f t="shared" si="30"/>
        <v>0</v>
      </c>
    </row>
    <row r="412" spans="1:23" ht="12.75" customHeight="1" x14ac:dyDescent="0.2">
      <c r="A412" s="386" t="s">
        <v>2321</v>
      </c>
      <c r="B412" s="398" t="s">
        <v>1098</v>
      </c>
      <c r="C412" s="398" t="s">
        <v>3331</v>
      </c>
      <c r="D412" s="399">
        <v>3854651.36</v>
      </c>
      <c r="E412" s="399">
        <v>0</v>
      </c>
      <c r="F412" s="399">
        <v>1880.02</v>
      </c>
      <c r="G412" s="524">
        <f t="shared" si="29"/>
        <v>3856531.38</v>
      </c>
      <c r="H412" s="400">
        <f>SUMIF('Trans Line Reconciliation'!$B$5:$B$84,$B412,'Trans Line Reconciliation'!$M$5:$M$84)</f>
        <v>3855187.6400000006</v>
      </c>
      <c r="I412" s="417">
        <f>SUMIF('Trans Line Reconciliation'!$B$5:$B$84,$B412,'Trans Line Reconciliation'!$N$5:$N$84)</f>
        <v>0</v>
      </c>
      <c r="J412" s="417">
        <f>SUMIF('Trans Line Reconciliation'!$B$5:$B$84,$B412,'Trans Line Reconciliation'!$O$5:$O$84)</f>
        <v>1880.0200000000004</v>
      </c>
      <c r="K412" s="400">
        <f>SUMIF('Trans Line Reconciliation'!$B$5:$B$84,$B412,'Trans Line Reconciliation'!$P$5:$P$84)</f>
        <v>-536.28000000072643</v>
      </c>
      <c r="L412" s="417">
        <f>SUMIF('Trans Line Reconciliation'!$B$5:$B$84,$B412,'Trans Line Reconciliation'!$Q$5:$Q$84)</f>
        <v>0</v>
      </c>
      <c r="M412" s="417">
        <f>SUMIF('Trans Line Reconciliation'!$B$5:$B$84,$B412,'Trans Line Reconciliation'!$R$5:$R$84)</f>
        <v>0</v>
      </c>
      <c r="N412" s="398" t="s">
        <v>2248</v>
      </c>
      <c r="O412" s="398"/>
      <c r="P412" s="403">
        <f>SUMIF('Antelope Bailey Split BA'!$B$7:$B$29,B412,'Antelope Bailey Split BA'!$C$7:$C$29)</f>
        <v>0</v>
      </c>
      <c r="Q412" s="403" t="str">
        <f>IF(AND(P412=1,'Plant Total by Account'!$H$1=2),"EKWRA","")</f>
        <v/>
      </c>
      <c r="S412" s="403">
        <f>SUMIF('ISO w_System Splits'!$D$524:$D$615,B412,'ISO w_System Splits'!$P$524:$P$615)</f>
        <v>0</v>
      </c>
      <c r="T412" s="403" t="str">
        <f>IF(AND(S412&lt;&gt;0,'Plant Total by Account'!$H$1=2),"EKWRA TL Change","")</f>
        <v/>
      </c>
      <c r="V412" s="77">
        <v>4147</v>
      </c>
      <c r="W412" s="404">
        <f t="shared" si="30"/>
        <v>0</v>
      </c>
    </row>
    <row r="413" spans="1:23" ht="12.75" customHeight="1" x14ac:dyDescent="0.2">
      <c r="A413" s="386" t="s">
        <v>516</v>
      </c>
      <c r="B413" s="398" t="s">
        <v>2209</v>
      </c>
      <c r="C413" s="398" t="s">
        <v>3330</v>
      </c>
      <c r="D413" s="399">
        <v>1696736.1199999999</v>
      </c>
      <c r="E413" s="399">
        <v>0</v>
      </c>
      <c r="F413" s="399">
        <v>0</v>
      </c>
      <c r="G413" s="524">
        <f t="shared" si="29"/>
        <v>1696736.1199999999</v>
      </c>
      <c r="H413" s="400">
        <f>SUMIF('Trans Line Reconciliation'!$B$5:$B$84,$B413,'Trans Line Reconciliation'!$M$5:$M$84)</f>
        <v>1696736.1200000003</v>
      </c>
      <c r="I413" s="417">
        <f>SUMIF('Trans Line Reconciliation'!$B$5:$B$84,$B413,'Trans Line Reconciliation'!$N$5:$N$84)</f>
        <v>0</v>
      </c>
      <c r="J413" s="417">
        <f>SUMIF('Trans Line Reconciliation'!$B$5:$B$84,$B413,'Trans Line Reconciliation'!$O$5:$O$84)</f>
        <v>0</v>
      </c>
      <c r="K413" s="400">
        <f>SUMIF('Trans Line Reconciliation'!$B$5:$B$84,$B413,'Trans Line Reconciliation'!$P$5:$P$84)</f>
        <v>0</v>
      </c>
      <c r="L413" s="417">
        <f>SUMIF('Trans Line Reconciliation'!$B$5:$B$84,$B413,'Trans Line Reconciliation'!$Q$5:$Q$84)</f>
        <v>0</v>
      </c>
      <c r="M413" s="417">
        <f>SUMIF('Trans Line Reconciliation'!$B$5:$B$84,$B413,'Trans Line Reconciliation'!$R$5:$R$84)</f>
        <v>0</v>
      </c>
      <c r="N413" s="398" t="s">
        <v>2248</v>
      </c>
      <c r="O413" s="398"/>
      <c r="P413" s="403">
        <f>SUMIF('Antelope Bailey Split BA'!$B$7:$B$29,B413,'Antelope Bailey Split BA'!$C$7:$C$29)</f>
        <v>0</v>
      </c>
      <c r="Q413" s="403" t="str">
        <f>IF(AND(P413=1,'Plant Total by Account'!$H$1=2),"EKWRA","")</f>
        <v/>
      </c>
      <c r="S413" s="403">
        <f>SUMIF('ISO w_System Splits'!$D$524:$D$615,B413,'ISO w_System Splits'!$P$524:$P$615)</f>
        <v>0</v>
      </c>
      <c r="T413" s="403" t="str">
        <f>IF(AND(S413&lt;&gt;0,'Plant Total by Account'!$H$1=2),"EKWRA TL Change","")</f>
        <v/>
      </c>
      <c r="V413" s="77">
        <v>4148</v>
      </c>
      <c r="W413" s="404">
        <f t="shared" si="30"/>
        <v>0</v>
      </c>
    </row>
    <row r="414" spans="1:23" ht="12.75" customHeight="1" x14ac:dyDescent="0.2">
      <c r="A414" s="386" t="s">
        <v>517</v>
      </c>
      <c r="B414" s="398" t="s">
        <v>2210</v>
      </c>
      <c r="C414" s="398"/>
      <c r="D414" s="399">
        <v>232</v>
      </c>
      <c r="E414" s="399">
        <v>0</v>
      </c>
      <c r="F414" s="399">
        <v>0</v>
      </c>
      <c r="G414" s="524">
        <f t="shared" si="29"/>
        <v>232</v>
      </c>
      <c r="H414" s="400">
        <f>SUMIF('Trans Line Reconciliation'!$B$5:$B$84,$B414,'Trans Line Reconciliation'!$M$5:$M$84)</f>
        <v>0</v>
      </c>
      <c r="I414" s="417">
        <f>SUMIF('Trans Line Reconciliation'!$B$5:$B$84,$B414,'Trans Line Reconciliation'!$N$5:$N$84)</f>
        <v>0</v>
      </c>
      <c r="J414" s="417">
        <f>SUMIF('Trans Line Reconciliation'!$B$5:$B$84,$B414,'Trans Line Reconciliation'!$O$5:$O$84)</f>
        <v>0</v>
      </c>
      <c r="K414" s="400">
        <f>SUMIF('Trans Line Reconciliation'!$B$5:$B$84,$B414,'Trans Line Reconciliation'!$P$5:$P$84)</f>
        <v>232</v>
      </c>
      <c r="L414" s="417">
        <f>SUMIF('Trans Line Reconciliation'!$B$5:$B$84,$B414,'Trans Line Reconciliation'!$Q$5:$Q$84)</f>
        <v>0</v>
      </c>
      <c r="M414" s="417">
        <f>SUMIF('Trans Line Reconciliation'!$B$5:$B$84,$B414,'Trans Line Reconciliation'!$R$5:$R$84)</f>
        <v>0</v>
      </c>
      <c r="N414" s="398" t="s">
        <v>2248</v>
      </c>
      <c r="O414" s="398"/>
      <c r="P414" s="403">
        <f>SUMIF('Antelope Bailey Split BA'!$B$7:$B$29,B414,'Antelope Bailey Split BA'!$C$7:$C$29)</f>
        <v>0</v>
      </c>
      <c r="Q414" s="403" t="str">
        <f>IF(AND(P414=1,'Plant Total by Account'!$H$1=2),"EKWRA","")</f>
        <v/>
      </c>
      <c r="S414" s="403">
        <f>SUMIF('ISO w_System Splits'!$D$524:$D$615,B414,'ISO w_System Splits'!$P$524:$P$615)</f>
        <v>0</v>
      </c>
      <c r="T414" s="403" t="str">
        <f>IF(AND(S414&lt;&gt;0,'Plant Total by Account'!$H$1=2),"EKWRA TL Change","")</f>
        <v/>
      </c>
      <c r="V414" s="77">
        <v>4149</v>
      </c>
      <c r="W414" s="404">
        <f t="shared" si="30"/>
        <v>0</v>
      </c>
    </row>
    <row r="415" spans="1:23" ht="12.75" customHeight="1" x14ac:dyDescent="0.2">
      <c r="A415" s="386" t="s">
        <v>518</v>
      </c>
      <c r="B415" s="398" t="s">
        <v>2211</v>
      </c>
      <c r="C415" s="398" t="s">
        <v>3331</v>
      </c>
      <c r="D415" s="399">
        <v>309032.19</v>
      </c>
      <c r="E415" s="399">
        <v>0</v>
      </c>
      <c r="F415" s="399">
        <v>0</v>
      </c>
      <c r="G415" s="524">
        <f t="shared" si="29"/>
        <v>309032.19</v>
      </c>
      <c r="H415" s="400">
        <f>SUMIF('Trans Line Reconciliation'!$B$5:$B$84,$B415,'Trans Line Reconciliation'!$M$5:$M$84)</f>
        <v>0</v>
      </c>
      <c r="I415" s="417">
        <f>SUMIF('Trans Line Reconciliation'!$B$5:$B$84,$B415,'Trans Line Reconciliation'!$N$5:$N$84)</f>
        <v>0</v>
      </c>
      <c r="J415" s="417">
        <f>SUMIF('Trans Line Reconciliation'!$B$5:$B$84,$B415,'Trans Line Reconciliation'!$O$5:$O$84)</f>
        <v>0</v>
      </c>
      <c r="K415" s="400">
        <f>SUMIF('Trans Line Reconciliation'!$B$5:$B$84,$B415,'Trans Line Reconciliation'!$P$5:$P$84)</f>
        <v>309032.19</v>
      </c>
      <c r="L415" s="417">
        <f>SUMIF('Trans Line Reconciliation'!$B$5:$B$84,$B415,'Trans Line Reconciliation'!$Q$5:$Q$84)</f>
        <v>0</v>
      </c>
      <c r="M415" s="417">
        <f>SUMIF('Trans Line Reconciliation'!$B$5:$B$84,$B415,'Trans Line Reconciliation'!$R$5:$R$84)</f>
        <v>0</v>
      </c>
      <c r="N415" s="398" t="s">
        <v>2248</v>
      </c>
      <c r="O415" s="398"/>
      <c r="P415" s="403">
        <f>SUMIF('Antelope Bailey Split BA'!$B$7:$B$29,B415,'Antelope Bailey Split BA'!$C$7:$C$29)</f>
        <v>0</v>
      </c>
      <c r="Q415" s="403" t="str">
        <f>IF(AND(P415=1,'Plant Total by Account'!$H$1=2),"EKWRA","")</f>
        <v/>
      </c>
      <c r="S415" s="403">
        <f>SUMIF('ISO w_System Splits'!$D$524:$D$615,B415,'ISO w_System Splits'!$P$524:$P$615)</f>
        <v>0</v>
      </c>
      <c r="T415" s="403" t="str">
        <f>IF(AND(S415&lt;&gt;0,'Plant Total by Account'!$H$1=2),"EKWRA TL Change","")</f>
        <v/>
      </c>
      <c r="V415" s="77">
        <v>4153</v>
      </c>
      <c r="W415" s="404">
        <f t="shared" si="30"/>
        <v>0</v>
      </c>
    </row>
    <row r="416" spans="1:23" ht="12.75" customHeight="1" x14ac:dyDescent="0.2">
      <c r="A416" s="386" t="s">
        <v>1329</v>
      </c>
      <c r="B416" s="398" t="s">
        <v>2212</v>
      </c>
      <c r="C416" s="398" t="s">
        <v>3330</v>
      </c>
      <c r="D416" s="399">
        <v>751548.67</v>
      </c>
      <c r="E416" s="399">
        <v>0</v>
      </c>
      <c r="F416" s="399">
        <v>0</v>
      </c>
      <c r="G416" s="524">
        <f t="shared" si="29"/>
        <v>751548.67</v>
      </c>
      <c r="H416" s="400">
        <f>SUMIF('Trans Line Reconciliation'!$B$5:$B$84,$B416,'Trans Line Reconciliation'!$M$5:$M$84)</f>
        <v>751548.67</v>
      </c>
      <c r="I416" s="417">
        <f>SUMIF('Trans Line Reconciliation'!$B$5:$B$84,$B416,'Trans Line Reconciliation'!$N$5:$N$84)</f>
        <v>0</v>
      </c>
      <c r="J416" s="417">
        <f>SUMIF('Trans Line Reconciliation'!$B$5:$B$84,$B416,'Trans Line Reconciliation'!$O$5:$O$84)</f>
        <v>0</v>
      </c>
      <c r="K416" s="400">
        <f>SUMIF('Trans Line Reconciliation'!$B$5:$B$84,$B416,'Trans Line Reconciliation'!$P$5:$P$84)</f>
        <v>0</v>
      </c>
      <c r="L416" s="417">
        <f>SUMIF('Trans Line Reconciliation'!$B$5:$B$84,$B416,'Trans Line Reconciliation'!$Q$5:$Q$84)</f>
        <v>0</v>
      </c>
      <c r="M416" s="417">
        <f>SUMIF('Trans Line Reconciliation'!$B$5:$B$84,$B416,'Trans Line Reconciliation'!$R$5:$R$84)</f>
        <v>0</v>
      </c>
      <c r="N416" s="398" t="s">
        <v>2248</v>
      </c>
      <c r="O416" s="398"/>
      <c r="P416" s="403">
        <f>SUMIF('Antelope Bailey Split BA'!$B$7:$B$29,B416,'Antelope Bailey Split BA'!$C$7:$C$29)</f>
        <v>0</v>
      </c>
      <c r="Q416" s="403" t="str">
        <f>IF(AND(P416=1,'Plant Total by Account'!$H$1=2),"EKWRA","")</f>
        <v/>
      </c>
      <c r="S416" s="403">
        <f>SUMIF('ISO w_System Splits'!$D$524:$D$615,B416,'ISO w_System Splits'!$P$524:$P$615)</f>
        <v>0</v>
      </c>
      <c r="T416" s="403" t="str">
        <f>IF(AND(S416&lt;&gt;0,'Plant Total by Account'!$H$1=2),"EKWRA TL Change","")</f>
        <v/>
      </c>
      <c r="V416" s="77">
        <v>4154</v>
      </c>
      <c r="W416" s="404">
        <f t="shared" si="30"/>
        <v>0</v>
      </c>
    </row>
    <row r="417" spans="1:23" ht="12.75" customHeight="1" x14ac:dyDescent="0.2">
      <c r="A417" s="386" t="s">
        <v>1330</v>
      </c>
      <c r="B417" s="398" t="s">
        <v>2213</v>
      </c>
      <c r="C417" s="398" t="s">
        <v>3330</v>
      </c>
      <c r="D417" s="399">
        <v>2956983.22</v>
      </c>
      <c r="E417" s="399">
        <v>0</v>
      </c>
      <c r="F417" s="399">
        <v>0</v>
      </c>
      <c r="G417" s="524">
        <f t="shared" si="29"/>
        <v>2956983.22</v>
      </c>
      <c r="H417" s="400">
        <f>SUMIF('Trans Line Reconciliation'!$B$5:$B$84,$B417,'Trans Line Reconciliation'!$M$5:$M$84)</f>
        <v>2956983.2199999997</v>
      </c>
      <c r="I417" s="417">
        <f>SUMIF('Trans Line Reconciliation'!$B$5:$B$84,$B417,'Trans Line Reconciliation'!$N$5:$N$84)</f>
        <v>0</v>
      </c>
      <c r="J417" s="417">
        <f>SUMIF('Trans Line Reconciliation'!$B$5:$B$84,$B417,'Trans Line Reconciliation'!$O$5:$O$84)</f>
        <v>0</v>
      </c>
      <c r="K417" s="400">
        <f>SUMIF('Trans Line Reconciliation'!$B$5:$B$84,$B417,'Trans Line Reconciliation'!$P$5:$P$84)</f>
        <v>0</v>
      </c>
      <c r="L417" s="417">
        <f>SUMIF('Trans Line Reconciliation'!$B$5:$B$84,$B417,'Trans Line Reconciliation'!$Q$5:$Q$84)</f>
        <v>0</v>
      </c>
      <c r="M417" s="417">
        <f>SUMIF('Trans Line Reconciliation'!$B$5:$B$84,$B417,'Trans Line Reconciliation'!$R$5:$R$84)</f>
        <v>0</v>
      </c>
      <c r="N417" s="398" t="s">
        <v>2248</v>
      </c>
      <c r="O417" s="398"/>
      <c r="P417" s="403">
        <f>SUMIF('Antelope Bailey Split BA'!$B$7:$B$29,B417,'Antelope Bailey Split BA'!$C$7:$C$29)</f>
        <v>0</v>
      </c>
      <c r="Q417" s="403" t="str">
        <f>IF(AND(P417=1,'Plant Total by Account'!$H$1=2),"EKWRA","")</f>
        <v/>
      </c>
      <c r="S417" s="403">
        <f>SUMIF('ISO w_System Splits'!$D$524:$D$615,B417,'ISO w_System Splits'!$P$524:$P$615)</f>
        <v>0</v>
      </c>
      <c r="T417" s="403" t="str">
        <f>IF(AND(S417&lt;&gt;0,'Plant Total by Account'!$H$1=2),"EKWRA TL Change","")</f>
        <v/>
      </c>
      <c r="V417" s="77">
        <v>4155</v>
      </c>
      <c r="W417" s="404">
        <f t="shared" si="30"/>
        <v>0</v>
      </c>
    </row>
    <row r="418" spans="1:23" ht="12.75" customHeight="1" x14ac:dyDescent="0.2">
      <c r="A418" s="386" t="s">
        <v>1331</v>
      </c>
      <c r="B418" s="398" t="s">
        <v>2214</v>
      </c>
      <c r="C418" s="398" t="s">
        <v>3331</v>
      </c>
      <c r="D418" s="399">
        <v>12019807.719999999</v>
      </c>
      <c r="E418" s="399">
        <v>0</v>
      </c>
      <c r="F418" s="399">
        <v>0</v>
      </c>
      <c r="G418" s="524">
        <f t="shared" si="29"/>
        <v>12019807.719999999</v>
      </c>
      <c r="H418" s="400">
        <f>SUMIF('Trans Line Reconciliation'!$B$5:$B$84,$B418,'Trans Line Reconciliation'!$M$5:$M$84)</f>
        <v>12025290.050000001</v>
      </c>
      <c r="I418" s="417">
        <f>SUMIF('Trans Line Reconciliation'!$B$5:$B$84,$B418,'Trans Line Reconciliation'!$N$5:$N$84)</f>
        <v>0</v>
      </c>
      <c r="J418" s="417">
        <f>SUMIF('Trans Line Reconciliation'!$B$5:$B$84,$B418,'Trans Line Reconciliation'!$O$5:$O$84)</f>
        <v>0</v>
      </c>
      <c r="K418" s="400">
        <f>SUMIF('Trans Line Reconciliation'!$B$5:$B$84,$B418,'Trans Line Reconciliation'!$P$5:$P$84)</f>
        <v>-5482.3300000019372</v>
      </c>
      <c r="L418" s="417">
        <f>SUMIF('Trans Line Reconciliation'!$B$5:$B$84,$B418,'Trans Line Reconciliation'!$Q$5:$Q$84)</f>
        <v>0</v>
      </c>
      <c r="M418" s="417">
        <f>SUMIF('Trans Line Reconciliation'!$B$5:$B$84,$B418,'Trans Line Reconciliation'!$R$5:$R$84)</f>
        <v>0</v>
      </c>
      <c r="N418" s="398" t="s">
        <v>2248</v>
      </c>
      <c r="O418" s="398"/>
      <c r="P418" s="403">
        <f>SUMIF('Antelope Bailey Split BA'!$B$7:$B$29,B418,'Antelope Bailey Split BA'!$C$7:$C$29)</f>
        <v>0</v>
      </c>
      <c r="Q418" s="403" t="str">
        <f>IF(AND(P418=1,'Plant Total by Account'!$H$1=2),"EKWRA","")</f>
        <v/>
      </c>
      <c r="S418" s="403">
        <f>SUMIF('ISO w_System Splits'!$D$524:$D$615,B418,'ISO w_System Splits'!$P$524:$P$615)</f>
        <v>0</v>
      </c>
      <c r="T418" s="403" t="str">
        <f>IF(AND(S418&lt;&gt;0,'Plant Total by Account'!$H$1=2),"EKWRA TL Change","")</f>
        <v/>
      </c>
      <c r="V418" s="77">
        <v>4156</v>
      </c>
      <c r="W418" s="404">
        <f t="shared" si="30"/>
        <v>0</v>
      </c>
    </row>
    <row r="419" spans="1:23" ht="12.75" customHeight="1" x14ac:dyDescent="0.2">
      <c r="A419" s="386" t="s">
        <v>1318</v>
      </c>
      <c r="B419" s="398" t="s">
        <v>1099</v>
      </c>
      <c r="C419" s="398" t="s">
        <v>3331</v>
      </c>
      <c r="D419" s="399">
        <v>105605.40000000001</v>
      </c>
      <c r="E419" s="399">
        <v>18610.489999999998</v>
      </c>
      <c r="F419" s="399">
        <v>0</v>
      </c>
      <c r="G419" s="524">
        <f t="shared" si="29"/>
        <v>124215.89000000001</v>
      </c>
      <c r="H419" s="400">
        <f>SUMIF('Trans Line Reconciliation'!$B$5:$B$84,$B419,'Trans Line Reconciliation'!$M$5:$M$84)</f>
        <v>105605.40000000001</v>
      </c>
      <c r="I419" s="417">
        <f>SUMIF('Trans Line Reconciliation'!$B$5:$B$84,$B419,'Trans Line Reconciliation'!$N$5:$N$84)</f>
        <v>18610.490000000002</v>
      </c>
      <c r="J419" s="417">
        <f>SUMIF('Trans Line Reconciliation'!$B$5:$B$84,$B419,'Trans Line Reconciliation'!$O$5:$O$84)</f>
        <v>0</v>
      </c>
      <c r="K419" s="400">
        <f>SUMIF('Trans Line Reconciliation'!$B$5:$B$84,$B419,'Trans Line Reconciliation'!$P$5:$P$84)</f>
        <v>0</v>
      </c>
      <c r="L419" s="417">
        <f>SUMIF('Trans Line Reconciliation'!$B$5:$B$84,$B419,'Trans Line Reconciliation'!$Q$5:$Q$84)</f>
        <v>0</v>
      </c>
      <c r="M419" s="417">
        <f>SUMIF('Trans Line Reconciliation'!$B$5:$B$84,$B419,'Trans Line Reconciliation'!$R$5:$R$84)</f>
        <v>0</v>
      </c>
      <c r="N419" s="398" t="s">
        <v>2248</v>
      </c>
      <c r="O419" s="398"/>
      <c r="P419" s="403">
        <f>SUMIF('Antelope Bailey Split BA'!$B$7:$B$29,B419,'Antelope Bailey Split BA'!$C$7:$C$29)</f>
        <v>0</v>
      </c>
      <c r="Q419" s="403" t="str">
        <f>IF(AND(P419=1,'Plant Total by Account'!$H$1=2),"EKWRA","")</f>
        <v/>
      </c>
      <c r="S419" s="403">
        <f>SUMIF('ISO w_System Splits'!$D$524:$D$615,B419,'ISO w_System Splits'!$P$524:$P$615)</f>
        <v>0</v>
      </c>
      <c r="T419" s="403" t="str">
        <f>IF(AND(S419&lt;&gt;0,'Plant Total by Account'!$H$1=2),"EKWRA TL Change","")</f>
        <v/>
      </c>
      <c r="V419" s="77">
        <v>4157</v>
      </c>
      <c r="W419" s="404">
        <f t="shared" si="30"/>
        <v>-3.637978807091713E-12</v>
      </c>
    </row>
    <row r="420" spans="1:23" ht="12.75" customHeight="1" x14ac:dyDescent="0.2">
      <c r="A420" s="386" t="s">
        <v>519</v>
      </c>
      <c r="B420" s="398" t="s">
        <v>2215</v>
      </c>
      <c r="C420" s="398"/>
      <c r="D420" s="399">
        <v>498252.05000000005</v>
      </c>
      <c r="E420" s="399">
        <v>0</v>
      </c>
      <c r="F420" s="399">
        <v>0</v>
      </c>
      <c r="G420" s="524">
        <f t="shared" si="29"/>
        <v>498252.05000000005</v>
      </c>
      <c r="H420" s="400">
        <f>SUMIF('Trans Line Reconciliation'!$B$5:$B$84,$B420,'Trans Line Reconciliation'!$M$5:$M$84)</f>
        <v>0</v>
      </c>
      <c r="I420" s="417">
        <f>SUMIF('Trans Line Reconciliation'!$B$5:$B$84,$B420,'Trans Line Reconciliation'!$N$5:$N$84)</f>
        <v>0</v>
      </c>
      <c r="J420" s="417">
        <f>SUMIF('Trans Line Reconciliation'!$B$5:$B$84,$B420,'Trans Line Reconciliation'!$O$5:$O$84)</f>
        <v>0</v>
      </c>
      <c r="K420" s="400">
        <f>SUMIF('Trans Line Reconciliation'!$B$5:$B$84,$B420,'Trans Line Reconciliation'!$P$5:$P$84)</f>
        <v>498252.05000000005</v>
      </c>
      <c r="L420" s="417">
        <f>SUMIF('Trans Line Reconciliation'!$B$5:$B$84,$B420,'Trans Line Reconciliation'!$Q$5:$Q$84)</f>
        <v>0</v>
      </c>
      <c r="M420" s="417">
        <f>SUMIF('Trans Line Reconciliation'!$B$5:$B$84,$B420,'Trans Line Reconciliation'!$R$5:$R$84)</f>
        <v>0</v>
      </c>
      <c r="N420" s="398" t="s">
        <v>2248</v>
      </c>
      <c r="O420" s="398"/>
      <c r="P420" s="403">
        <f>SUMIF('Antelope Bailey Split BA'!$B$7:$B$29,B420,'Antelope Bailey Split BA'!$C$7:$C$29)</f>
        <v>0</v>
      </c>
      <c r="Q420" s="403" t="str">
        <f>IF(AND(P420=1,'Plant Total by Account'!$H$1=2),"EKWRA","")</f>
        <v/>
      </c>
      <c r="S420" s="403">
        <f>SUMIF('ISO w_System Splits'!$D$524:$D$615,B420,'ISO w_System Splits'!$P$524:$P$615)</f>
        <v>0</v>
      </c>
      <c r="T420" s="403" t="str">
        <f>IF(AND(S420&lt;&gt;0,'Plant Total by Account'!$H$1=2),"EKWRA TL Change","")</f>
        <v/>
      </c>
      <c r="V420" s="77">
        <v>4158</v>
      </c>
      <c r="W420" s="404">
        <f t="shared" si="30"/>
        <v>0</v>
      </c>
    </row>
    <row r="421" spans="1:23" ht="12.75" customHeight="1" x14ac:dyDescent="0.2">
      <c r="A421" s="386" t="s">
        <v>1332</v>
      </c>
      <c r="B421" s="398" t="s">
        <v>2216</v>
      </c>
      <c r="C421" s="398" t="s">
        <v>3331</v>
      </c>
      <c r="D421" s="399">
        <v>9034.39</v>
      </c>
      <c r="E421" s="399">
        <v>0</v>
      </c>
      <c r="F421" s="399">
        <v>0</v>
      </c>
      <c r="G421" s="524">
        <f t="shared" si="29"/>
        <v>9034.39</v>
      </c>
      <c r="H421" s="400">
        <f>SUMIF('Trans Line Reconciliation'!$B$5:$B$84,$B421,'Trans Line Reconciliation'!$M$5:$M$84)</f>
        <v>9034.39</v>
      </c>
      <c r="I421" s="417">
        <f>SUMIF('Trans Line Reconciliation'!$B$5:$B$84,$B421,'Trans Line Reconciliation'!$N$5:$N$84)</f>
        <v>0</v>
      </c>
      <c r="J421" s="417">
        <f>SUMIF('Trans Line Reconciliation'!$B$5:$B$84,$B421,'Trans Line Reconciliation'!$O$5:$O$84)</f>
        <v>0</v>
      </c>
      <c r="K421" s="400">
        <f>SUMIF('Trans Line Reconciliation'!$B$5:$B$84,$B421,'Trans Line Reconciliation'!$P$5:$P$84)</f>
        <v>0</v>
      </c>
      <c r="L421" s="417">
        <f>SUMIF('Trans Line Reconciliation'!$B$5:$B$84,$B421,'Trans Line Reconciliation'!$Q$5:$Q$84)</f>
        <v>0</v>
      </c>
      <c r="M421" s="417">
        <f>SUMIF('Trans Line Reconciliation'!$B$5:$B$84,$B421,'Trans Line Reconciliation'!$R$5:$R$84)</f>
        <v>0</v>
      </c>
      <c r="N421" s="398" t="s">
        <v>2248</v>
      </c>
      <c r="O421" s="398"/>
      <c r="P421" s="403">
        <f>SUMIF('Antelope Bailey Split BA'!$B$7:$B$29,B421,'Antelope Bailey Split BA'!$C$7:$C$29)</f>
        <v>0</v>
      </c>
      <c r="Q421" s="403" t="str">
        <f>IF(AND(P421=1,'Plant Total by Account'!$H$1=2),"EKWRA","")</f>
        <v/>
      </c>
      <c r="S421" s="403">
        <f>SUMIF('ISO w_System Splits'!$D$524:$D$615,B421,'ISO w_System Splits'!$P$524:$P$615)</f>
        <v>0</v>
      </c>
      <c r="T421" s="403" t="str">
        <f>IF(AND(S421&lt;&gt;0,'Plant Total by Account'!$H$1=2),"EKWRA TL Change","")</f>
        <v/>
      </c>
      <c r="V421" s="77">
        <v>4166</v>
      </c>
      <c r="W421" s="404">
        <f t="shared" si="30"/>
        <v>0</v>
      </c>
    </row>
    <row r="422" spans="1:23" ht="12.75" customHeight="1" x14ac:dyDescent="0.2">
      <c r="A422" s="386" t="s">
        <v>520</v>
      </c>
      <c r="B422" s="398" t="s">
        <v>2217</v>
      </c>
      <c r="C422" s="398" t="s">
        <v>3331</v>
      </c>
      <c r="D422" s="399">
        <v>4331.1900000000005</v>
      </c>
      <c r="E422" s="399">
        <v>0</v>
      </c>
      <c r="F422" s="399">
        <v>0</v>
      </c>
      <c r="G422" s="524">
        <f t="shared" si="29"/>
        <v>4331.1900000000005</v>
      </c>
      <c r="H422" s="400">
        <f>SUMIF('Trans Line Reconciliation'!$B$5:$B$84,$B422,'Trans Line Reconciliation'!$M$5:$M$84)</f>
        <v>0</v>
      </c>
      <c r="I422" s="417">
        <f>SUMIF('Trans Line Reconciliation'!$B$5:$B$84,$B422,'Trans Line Reconciliation'!$N$5:$N$84)</f>
        <v>0</v>
      </c>
      <c r="J422" s="417">
        <f>SUMIF('Trans Line Reconciliation'!$B$5:$B$84,$B422,'Trans Line Reconciliation'!$O$5:$O$84)</f>
        <v>0</v>
      </c>
      <c r="K422" s="400">
        <f>SUMIF('Trans Line Reconciliation'!$B$5:$B$84,$B422,'Trans Line Reconciliation'!$P$5:$P$84)</f>
        <v>4331.1900000000005</v>
      </c>
      <c r="L422" s="417">
        <f>SUMIF('Trans Line Reconciliation'!$B$5:$B$84,$B422,'Trans Line Reconciliation'!$Q$5:$Q$84)</f>
        <v>0</v>
      </c>
      <c r="M422" s="417">
        <f>SUMIF('Trans Line Reconciliation'!$B$5:$B$84,$B422,'Trans Line Reconciliation'!$R$5:$R$84)</f>
        <v>0</v>
      </c>
      <c r="N422" s="398" t="s">
        <v>2248</v>
      </c>
      <c r="O422" s="398"/>
      <c r="P422" s="403">
        <f>SUMIF('Antelope Bailey Split BA'!$B$7:$B$29,B422,'Antelope Bailey Split BA'!$C$7:$C$29)</f>
        <v>0</v>
      </c>
      <c r="Q422" s="403" t="str">
        <f>IF(AND(P422=1,'Plant Total by Account'!$H$1=2),"EKWRA","")</f>
        <v/>
      </c>
      <c r="S422" s="403">
        <f>SUMIF('ISO w_System Splits'!$D$524:$D$615,B422,'ISO w_System Splits'!$P$524:$P$615)</f>
        <v>0</v>
      </c>
      <c r="T422" s="403" t="str">
        <f>IF(AND(S422&lt;&gt;0,'Plant Total by Account'!$H$1=2),"EKWRA TL Change","")</f>
        <v/>
      </c>
      <c r="V422" s="77">
        <v>4168</v>
      </c>
      <c r="W422" s="404">
        <f t="shared" si="30"/>
        <v>0</v>
      </c>
    </row>
    <row r="423" spans="1:23" ht="12.75" customHeight="1" x14ac:dyDescent="0.2">
      <c r="A423" s="386" t="s">
        <v>2322</v>
      </c>
      <c r="B423" s="398" t="s">
        <v>1100</v>
      </c>
      <c r="C423" s="398" t="s">
        <v>3331</v>
      </c>
      <c r="D423" s="399">
        <v>3565382.1700000009</v>
      </c>
      <c r="E423" s="399">
        <v>0</v>
      </c>
      <c r="F423" s="399">
        <v>2701.36</v>
      </c>
      <c r="G423" s="524">
        <f t="shared" si="29"/>
        <v>3568083.5300000007</v>
      </c>
      <c r="H423" s="400">
        <f>SUMIF('Trans Line Reconciliation'!$B$5:$B$84,$B423,'Trans Line Reconciliation'!$M$5:$M$84)</f>
        <v>3452749.4022800648</v>
      </c>
      <c r="I423" s="417">
        <f>SUMIF('Trans Line Reconciliation'!$B$5:$B$84,$B423,'Trans Line Reconciliation'!$N$5:$N$84)</f>
        <v>0</v>
      </c>
      <c r="J423" s="417">
        <f>SUMIF('Trans Line Reconciliation'!$B$5:$B$84,$B423,'Trans Line Reconciliation'!$O$5:$O$84)</f>
        <v>2616.0222609020552</v>
      </c>
      <c r="K423" s="400">
        <f>SUMIF('Trans Line Reconciliation'!$B$5:$B$84,$B423,'Trans Line Reconciliation'!$P$5:$P$84)</f>
        <v>112632.76771993609</v>
      </c>
      <c r="L423" s="417">
        <f>SUMIF('Trans Line Reconciliation'!$B$5:$B$84,$B423,'Trans Line Reconciliation'!$Q$5:$Q$84)</f>
        <v>0</v>
      </c>
      <c r="M423" s="417">
        <f>SUMIF('Trans Line Reconciliation'!$B$5:$B$84,$B423,'Trans Line Reconciliation'!$R$5:$R$84)</f>
        <v>85.337739097944905</v>
      </c>
      <c r="N423" s="398" t="s">
        <v>2248</v>
      </c>
      <c r="O423" s="398"/>
      <c r="P423" s="403">
        <f>SUMIF('Antelope Bailey Split BA'!$B$7:$B$29,B423,'Antelope Bailey Split BA'!$C$7:$C$29)</f>
        <v>0</v>
      </c>
      <c r="Q423" s="403" t="str">
        <f>IF(AND(P423=1,'Plant Total by Account'!$H$1=2),"EKWRA","")</f>
        <v/>
      </c>
      <c r="S423" s="403">
        <f>SUMIF('ISO w_System Splits'!$D$524:$D$615,B423,'ISO w_System Splits'!$P$524:$P$615)</f>
        <v>0</v>
      </c>
      <c r="T423" s="403" t="str">
        <f>IF(AND(S423&lt;&gt;0,'Plant Total by Account'!$H$1=2),"EKWRA TL Change","")</f>
        <v/>
      </c>
      <c r="V423" s="77">
        <v>4169</v>
      </c>
      <c r="W423" s="404">
        <f t="shared" si="30"/>
        <v>0</v>
      </c>
    </row>
    <row r="424" spans="1:23" ht="12.75" customHeight="1" x14ac:dyDescent="0.2">
      <c r="A424" s="386" t="s">
        <v>1333</v>
      </c>
      <c r="B424" s="398" t="s">
        <v>2218</v>
      </c>
      <c r="C424" s="398" t="s">
        <v>3330</v>
      </c>
      <c r="D424" s="399">
        <v>12533939</v>
      </c>
      <c r="E424" s="399">
        <v>0</v>
      </c>
      <c r="F424" s="399">
        <v>0</v>
      </c>
      <c r="G424" s="524">
        <f t="shared" si="29"/>
        <v>12533939</v>
      </c>
      <c r="H424" s="400">
        <f>SUMIF('Trans Line Reconciliation'!$B$5:$B$84,$B424,'Trans Line Reconciliation'!$M$5:$M$84)</f>
        <v>12546475.5</v>
      </c>
      <c r="I424" s="417">
        <f>SUMIF('Trans Line Reconciliation'!$B$5:$B$84,$B424,'Trans Line Reconciliation'!$N$5:$N$84)</f>
        <v>0</v>
      </c>
      <c r="J424" s="417">
        <f>SUMIF('Trans Line Reconciliation'!$B$5:$B$84,$B424,'Trans Line Reconciliation'!$O$5:$O$84)</f>
        <v>0</v>
      </c>
      <c r="K424" s="400">
        <f>SUMIF('Trans Line Reconciliation'!$B$5:$B$84,$B424,'Trans Line Reconciliation'!$P$5:$P$84)</f>
        <v>-12536.5</v>
      </c>
      <c r="L424" s="417">
        <f>SUMIF('Trans Line Reconciliation'!$B$5:$B$84,$B424,'Trans Line Reconciliation'!$Q$5:$Q$84)</f>
        <v>0</v>
      </c>
      <c r="M424" s="417">
        <f>SUMIF('Trans Line Reconciliation'!$B$5:$B$84,$B424,'Trans Line Reconciliation'!$R$5:$R$84)</f>
        <v>0</v>
      </c>
      <c r="N424" s="398" t="s">
        <v>2248</v>
      </c>
      <c r="O424" s="398"/>
      <c r="P424" s="403">
        <f>SUMIF('Antelope Bailey Split BA'!$B$7:$B$29,B424,'Antelope Bailey Split BA'!$C$7:$C$29)</f>
        <v>0</v>
      </c>
      <c r="Q424" s="403" t="str">
        <f>IF(AND(P424=1,'Plant Total by Account'!$H$1=2),"EKWRA","")</f>
        <v/>
      </c>
      <c r="S424" s="403">
        <f>SUMIF('ISO w_System Splits'!$D$524:$D$615,B424,'ISO w_System Splits'!$P$524:$P$615)</f>
        <v>0</v>
      </c>
      <c r="T424" s="403" t="str">
        <f>IF(AND(S424&lt;&gt;0,'Plant Total by Account'!$H$1=2),"EKWRA TL Change","")</f>
        <v/>
      </c>
      <c r="V424" s="77">
        <v>4185</v>
      </c>
      <c r="W424" s="404">
        <f t="shared" si="30"/>
        <v>0</v>
      </c>
    </row>
    <row r="425" spans="1:23" ht="12.75" customHeight="1" x14ac:dyDescent="0.2">
      <c r="A425" s="386" t="s">
        <v>1333</v>
      </c>
      <c r="B425" s="398" t="s">
        <v>2219</v>
      </c>
      <c r="C425" s="398" t="s">
        <v>3330</v>
      </c>
      <c r="D425" s="399">
        <v>1193710.3500000001</v>
      </c>
      <c r="E425" s="399">
        <v>0</v>
      </c>
      <c r="F425" s="399">
        <v>0</v>
      </c>
      <c r="G425" s="524">
        <f t="shared" si="29"/>
        <v>1193710.3500000001</v>
      </c>
      <c r="H425" s="400">
        <f>SUMIF('Trans Line Reconciliation'!$B$5:$B$84,$B425,'Trans Line Reconciliation'!$M$5:$M$84)</f>
        <v>1194334.76</v>
      </c>
      <c r="I425" s="417">
        <f>SUMIF('Trans Line Reconciliation'!$B$5:$B$84,$B425,'Trans Line Reconciliation'!$N$5:$N$84)</f>
        <v>0</v>
      </c>
      <c r="J425" s="417">
        <f>SUMIF('Trans Line Reconciliation'!$B$5:$B$84,$B425,'Trans Line Reconciliation'!$O$5:$O$84)</f>
        <v>0</v>
      </c>
      <c r="K425" s="400">
        <f>SUMIF('Trans Line Reconciliation'!$B$5:$B$84,$B425,'Trans Line Reconciliation'!$P$5:$P$84)</f>
        <v>-624.40999999991618</v>
      </c>
      <c r="L425" s="417">
        <f>SUMIF('Trans Line Reconciliation'!$B$5:$B$84,$B425,'Trans Line Reconciliation'!$Q$5:$Q$84)</f>
        <v>0</v>
      </c>
      <c r="M425" s="417">
        <f>SUMIF('Trans Line Reconciliation'!$B$5:$B$84,$B425,'Trans Line Reconciliation'!$R$5:$R$84)</f>
        <v>0</v>
      </c>
      <c r="N425" s="398" t="s">
        <v>2248</v>
      </c>
      <c r="O425" s="398"/>
      <c r="P425" s="403">
        <f>SUMIF('Antelope Bailey Split BA'!$B$7:$B$29,B425,'Antelope Bailey Split BA'!$C$7:$C$29)</f>
        <v>0</v>
      </c>
      <c r="Q425" s="403" t="str">
        <f>IF(AND(P425=1,'Plant Total by Account'!$H$1=2),"EKWRA","")</f>
        <v/>
      </c>
      <c r="S425" s="403">
        <f>SUMIF('ISO w_System Splits'!$D$524:$D$615,B425,'ISO w_System Splits'!$P$524:$P$615)</f>
        <v>0</v>
      </c>
      <c r="T425" s="403" t="str">
        <f>IF(AND(S425&lt;&gt;0,'Plant Total by Account'!$H$1=2),"EKWRA TL Change","")</f>
        <v/>
      </c>
      <c r="V425" s="77">
        <v>4186</v>
      </c>
      <c r="W425" s="404">
        <f t="shared" si="30"/>
        <v>0</v>
      </c>
    </row>
    <row r="426" spans="1:23" ht="12.75" customHeight="1" x14ac:dyDescent="0.2">
      <c r="A426" s="386" t="s">
        <v>1334</v>
      </c>
      <c r="B426" s="398" t="s">
        <v>2220</v>
      </c>
      <c r="C426" s="398" t="s">
        <v>3330</v>
      </c>
      <c r="D426" s="399">
        <v>10444073.319999998</v>
      </c>
      <c r="E426" s="399">
        <v>0</v>
      </c>
      <c r="F426" s="399">
        <v>0</v>
      </c>
      <c r="G426" s="524">
        <f t="shared" si="29"/>
        <v>10444073.319999998</v>
      </c>
      <c r="H426" s="400">
        <f>SUMIF('Trans Line Reconciliation'!$B$5:$B$84,$B426,'Trans Line Reconciliation'!$M$5:$M$84)</f>
        <v>10444073.32</v>
      </c>
      <c r="I426" s="417">
        <f>SUMIF('Trans Line Reconciliation'!$B$5:$B$84,$B426,'Trans Line Reconciliation'!$N$5:$N$84)</f>
        <v>0</v>
      </c>
      <c r="J426" s="417">
        <f>SUMIF('Trans Line Reconciliation'!$B$5:$B$84,$B426,'Trans Line Reconciliation'!$O$5:$O$84)</f>
        <v>0</v>
      </c>
      <c r="K426" s="400">
        <f>SUMIF('Trans Line Reconciliation'!$B$5:$B$84,$B426,'Trans Line Reconciliation'!$P$5:$P$84)</f>
        <v>0</v>
      </c>
      <c r="L426" s="417">
        <f>SUMIF('Trans Line Reconciliation'!$B$5:$B$84,$B426,'Trans Line Reconciliation'!$Q$5:$Q$84)</f>
        <v>0</v>
      </c>
      <c r="M426" s="417">
        <f>SUMIF('Trans Line Reconciliation'!$B$5:$B$84,$B426,'Trans Line Reconciliation'!$R$5:$R$84)</f>
        <v>0</v>
      </c>
      <c r="N426" s="398" t="s">
        <v>2248</v>
      </c>
      <c r="O426" s="398"/>
      <c r="P426" s="403">
        <f>SUMIF('Antelope Bailey Split BA'!$B$7:$B$29,B426,'Antelope Bailey Split BA'!$C$7:$C$29)</f>
        <v>0</v>
      </c>
      <c r="Q426" s="403" t="str">
        <f>IF(AND(P426=1,'Plant Total by Account'!$H$1=2),"EKWRA","")</f>
        <v/>
      </c>
      <c r="S426" s="403">
        <f>SUMIF('ISO w_System Splits'!$D$524:$D$615,B426,'ISO w_System Splits'!$P$524:$P$615)</f>
        <v>0</v>
      </c>
      <c r="T426" s="403" t="str">
        <f>IF(AND(S426&lt;&gt;0,'Plant Total by Account'!$H$1=2),"EKWRA TL Change","")</f>
        <v/>
      </c>
      <c r="V426" s="77">
        <v>4187</v>
      </c>
      <c r="W426" s="404">
        <f t="shared" si="30"/>
        <v>0</v>
      </c>
    </row>
    <row r="427" spans="1:23" ht="12.75" customHeight="1" x14ac:dyDescent="0.2">
      <c r="A427" s="386" t="s">
        <v>2323</v>
      </c>
      <c r="B427" s="398" t="s">
        <v>1101</v>
      </c>
      <c r="C427" s="398" t="s">
        <v>3330</v>
      </c>
      <c r="D427" s="399">
        <v>2855826.2300000004</v>
      </c>
      <c r="E427" s="399">
        <v>8043.41</v>
      </c>
      <c r="F427" s="399">
        <v>0</v>
      </c>
      <c r="G427" s="524">
        <f t="shared" si="29"/>
        <v>2863869.6400000006</v>
      </c>
      <c r="H427" s="400">
        <f>SUMIF('Trans Line Reconciliation'!$B$5:$B$84,$B427,'Trans Line Reconciliation'!$M$5:$M$84)</f>
        <v>2858639.23</v>
      </c>
      <c r="I427" s="417">
        <f>SUMIF('Trans Line Reconciliation'!$B$5:$B$84,$B427,'Trans Line Reconciliation'!$N$5:$N$84)</f>
        <v>8043.4099999999989</v>
      </c>
      <c r="J427" s="417">
        <f>SUMIF('Trans Line Reconciliation'!$B$5:$B$84,$B427,'Trans Line Reconciliation'!$O$5:$O$84)</f>
        <v>0</v>
      </c>
      <c r="K427" s="400">
        <f>SUMIF('Trans Line Reconciliation'!$B$5:$B$84,$B427,'Trans Line Reconciliation'!$P$5:$P$84)</f>
        <v>-2812.9999999995343</v>
      </c>
      <c r="L427" s="417">
        <f>SUMIF('Trans Line Reconciliation'!$B$5:$B$84,$B427,'Trans Line Reconciliation'!$Q$5:$Q$84)</f>
        <v>9.0949470177292824E-13</v>
      </c>
      <c r="M427" s="417">
        <f>SUMIF('Trans Line Reconciliation'!$B$5:$B$84,$B427,'Trans Line Reconciliation'!$R$5:$R$84)</f>
        <v>0</v>
      </c>
      <c r="N427" s="398" t="s">
        <v>2248</v>
      </c>
      <c r="O427" s="398"/>
      <c r="P427" s="403">
        <f>SUMIF('Antelope Bailey Split BA'!$B$7:$B$29,B427,'Antelope Bailey Split BA'!$C$7:$C$29)</f>
        <v>0</v>
      </c>
      <c r="Q427" s="403" t="str">
        <f>IF(AND(P427=1,'Plant Total by Account'!$H$1=2),"EKWRA","")</f>
        <v/>
      </c>
      <c r="S427" s="403">
        <f>SUMIF('ISO w_System Splits'!$D$524:$D$615,B427,'ISO w_System Splits'!$P$524:$P$615)</f>
        <v>0</v>
      </c>
      <c r="T427" s="403" t="str">
        <f>IF(AND(S427&lt;&gt;0,'Plant Total by Account'!$H$1=2),"EKWRA TL Change","")</f>
        <v/>
      </c>
      <c r="V427" s="77">
        <v>4188</v>
      </c>
      <c r="W427" s="404">
        <f t="shared" si="30"/>
        <v>0</v>
      </c>
    </row>
    <row r="428" spans="1:23" ht="12.75" customHeight="1" x14ac:dyDescent="0.2">
      <c r="A428" s="386" t="s">
        <v>1335</v>
      </c>
      <c r="B428" s="398" t="s">
        <v>2221</v>
      </c>
      <c r="C428" s="398" t="s">
        <v>3331</v>
      </c>
      <c r="D428" s="399">
        <v>78247.819999999992</v>
      </c>
      <c r="E428" s="399">
        <v>0</v>
      </c>
      <c r="F428" s="399">
        <v>0</v>
      </c>
      <c r="G428" s="524">
        <f t="shared" si="29"/>
        <v>78247.819999999992</v>
      </c>
      <c r="H428" s="400">
        <f>SUMIF('Trans Line Reconciliation'!$B$5:$B$84,$B428,'Trans Line Reconciliation'!$M$5:$M$84)</f>
        <v>78247.820000000007</v>
      </c>
      <c r="I428" s="417">
        <f>SUMIF('Trans Line Reconciliation'!$B$5:$B$84,$B428,'Trans Line Reconciliation'!$N$5:$N$84)</f>
        <v>0</v>
      </c>
      <c r="J428" s="417">
        <f>SUMIF('Trans Line Reconciliation'!$B$5:$B$84,$B428,'Trans Line Reconciliation'!$O$5:$O$84)</f>
        <v>0</v>
      </c>
      <c r="K428" s="400">
        <f>SUMIF('Trans Line Reconciliation'!$B$5:$B$84,$B428,'Trans Line Reconciliation'!$P$5:$P$84)</f>
        <v>0</v>
      </c>
      <c r="L428" s="417">
        <f>SUMIF('Trans Line Reconciliation'!$B$5:$B$84,$B428,'Trans Line Reconciliation'!$Q$5:$Q$84)</f>
        <v>0</v>
      </c>
      <c r="M428" s="417">
        <f>SUMIF('Trans Line Reconciliation'!$B$5:$B$84,$B428,'Trans Line Reconciliation'!$R$5:$R$84)</f>
        <v>0</v>
      </c>
      <c r="N428" s="398" t="s">
        <v>2248</v>
      </c>
      <c r="O428" s="398"/>
      <c r="P428" s="403">
        <f>SUMIF('Antelope Bailey Split BA'!$B$7:$B$29,B428,'Antelope Bailey Split BA'!$C$7:$C$29)</f>
        <v>0</v>
      </c>
      <c r="Q428" s="403" t="str">
        <f>IF(AND(P428=1,'Plant Total by Account'!$H$1=2),"EKWRA","")</f>
        <v/>
      </c>
      <c r="S428" s="403">
        <f>SUMIF('ISO w_System Splits'!$D$524:$D$615,B428,'ISO w_System Splits'!$P$524:$P$615)</f>
        <v>0</v>
      </c>
      <c r="T428" s="403" t="str">
        <f>IF(AND(S428&lt;&gt;0,'Plant Total by Account'!$H$1=2),"EKWRA TL Change","")</f>
        <v/>
      </c>
      <c r="V428" s="77">
        <v>4189</v>
      </c>
      <c r="W428" s="404">
        <f t="shared" si="30"/>
        <v>0</v>
      </c>
    </row>
    <row r="429" spans="1:23" ht="12.75" customHeight="1" x14ac:dyDescent="0.2">
      <c r="A429" s="386" t="s">
        <v>1450</v>
      </c>
      <c r="B429" s="398" t="s">
        <v>1102</v>
      </c>
      <c r="C429" s="398" t="s">
        <v>3334</v>
      </c>
      <c r="D429" s="399">
        <v>0</v>
      </c>
      <c r="E429" s="399">
        <v>465309.77000000008</v>
      </c>
      <c r="F429" s="399">
        <v>0</v>
      </c>
      <c r="G429" s="524">
        <f t="shared" si="29"/>
        <v>465309.77000000008</v>
      </c>
      <c r="H429" s="400">
        <f>SUMIF('Trans Line Reconciliation'!$B$5:$B$84,$B429,'Trans Line Reconciliation'!$M$5:$M$84)</f>
        <v>0</v>
      </c>
      <c r="I429" s="417">
        <f>SUMIF('Trans Line Reconciliation'!$B$5:$B$84,$B429,'Trans Line Reconciliation'!$N$5:$N$84)</f>
        <v>0</v>
      </c>
      <c r="J429" s="417">
        <f>SUMIF('Trans Line Reconciliation'!$B$5:$B$84,$B429,'Trans Line Reconciliation'!$O$5:$O$84)</f>
        <v>0</v>
      </c>
      <c r="K429" s="400">
        <f>SUMIF('Trans Line Reconciliation'!$B$5:$B$84,$B429,'Trans Line Reconciliation'!$P$5:$P$84)</f>
        <v>0</v>
      </c>
      <c r="L429" s="417">
        <f>SUMIF('Trans Line Reconciliation'!$B$5:$B$84,$B429,'Trans Line Reconciliation'!$Q$5:$Q$84)</f>
        <v>465309.77000000008</v>
      </c>
      <c r="M429" s="417">
        <f>SUMIF('Trans Line Reconciliation'!$B$5:$B$84,$B429,'Trans Line Reconciliation'!$R$5:$R$84)</f>
        <v>0</v>
      </c>
      <c r="N429" s="398" t="s">
        <v>2248</v>
      </c>
      <c r="O429" s="398"/>
      <c r="P429" s="403">
        <f>SUMIF('Antelope Bailey Split BA'!$B$7:$B$29,B429,'Antelope Bailey Split BA'!$C$7:$C$29)</f>
        <v>0</v>
      </c>
      <c r="Q429" s="403" t="str">
        <f>IF(AND(P429=1,'Plant Total by Account'!$H$1=2),"EKWRA","")</f>
        <v/>
      </c>
      <c r="S429" s="403">
        <f>SUMIF('ISO w_System Splits'!$D$524:$D$615,B429,'ISO w_System Splits'!$P$524:$P$615)</f>
        <v>0</v>
      </c>
      <c r="T429" s="403" t="str">
        <f>IF(AND(S429&lt;&gt;0,'Plant Total by Account'!$H$1=2),"EKWRA TL Change","")</f>
        <v/>
      </c>
      <c r="V429" s="77">
        <v>4200</v>
      </c>
      <c r="W429" s="404">
        <f t="shared" si="30"/>
        <v>0</v>
      </c>
    </row>
    <row r="430" spans="1:23" ht="12.75" customHeight="1" x14ac:dyDescent="0.2">
      <c r="A430" s="386" t="s">
        <v>1451</v>
      </c>
      <c r="B430" s="398" t="s">
        <v>2222</v>
      </c>
      <c r="C430" s="398" t="s">
        <v>3331</v>
      </c>
      <c r="D430" s="399">
        <v>0</v>
      </c>
      <c r="E430" s="399">
        <v>25798.080000000002</v>
      </c>
      <c r="F430" s="399">
        <v>0</v>
      </c>
      <c r="G430" s="524">
        <f t="shared" si="29"/>
        <v>25798.080000000002</v>
      </c>
      <c r="H430" s="400">
        <f>SUMIF('Trans Line Reconciliation'!$B$5:$B$84,$B430,'Trans Line Reconciliation'!$M$5:$M$84)</f>
        <v>0</v>
      </c>
      <c r="I430" s="417">
        <f>SUMIF('Trans Line Reconciliation'!$B$5:$B$84,$B430,'Trans Line Reconciliation'!$N$5:$N$84)</f>
        <v>0</v>
      </c>
      <c r="J430" s="417">
        <f>SUMIF('Trans Line Reconciliation'!$B$5:$B$84,$B430,'Trans Line Reconciliation'!$O$5:$O$84)</f>
        <v>0</v>
      </c>
      <c r="K430" s="400">
        <f>SUMIF('Trans Line Reconciliation'!$B$5:$B$84,$B430,'Trans Line Reconciliation'!$P$5:$P$84)</f>
        <v>0</v>
      </c>
      <c r="L430" s="417">
        <f>SUMIF('Trans Line Reconciliation'!$B$5:$B$84,$B430,'Trans Line Reconciliation'!$Q$5:$Q$84)</f>
        <v>25798.080000000002</v>
      </c>
      <c r="M430" s="417">
        <f>SUMIF('Trans Line Reconciliation'!$B$5:$B$84,$B430,'Trans Line Reconciliation'!$R$5:$R$84)</f>
        <v>0</v>
      </c>
      <c r="N430" s="398" t="s">
        <v>2248</v>
      </c>
      <c r="O430" s="398"/>
      <c r="P430" s="403">
        <f>SUMIF('Antelope Bailey Split BA'!$B$7:$B$29,B430,'Antelope Bailey Split BA'!$C$7:$C$29)</f>
        <v>0</v>
      </c>
      <c r="Q430" s="403" t="str">
        <f>IF(AND(P430=1,'Plant Total by Account'!$H$1=2),"EKWRA","")</f>
        <v/>
      </c>
      <c r="S430" s="403">
        <f>SUMIF('ISO w_System Splits'!$D$524:$D$615,B430,'ISO w_System Splits'!$P$524:$P$615)</f>
        <v>0</v>
      </c>
      <c r="T430" s="403" t="str">
        <f>IF(AND(S430&lt;&gt;0,'Plant Total by Account'!$H$1=2),"EKWRA TL Change","")</f>
        <v/>
      </c>
      <c r="V430" s="77">
        <v>4207</v>
      </c>
      <c r="W430" s="404">
        <f t="shared" si="30"/>
        <v>0</v>
      </c>
    </row>
    <row r="431" spans="1:23" ht="12.75" customHeight="1" x14ac:dyDescent="0.2">
      <c r="A431" s="386" t="s">
        <v>1777</v>
      </c>
      <c r="B431" s="398" t="s">
        <v>1104</v>
      </c>
      <c r="C431" s="398" t="s">
        <v>3331</v>
      </c>
      <c r="D431" s="399">
        <v>0</v>
      </c>
      <c r="E431" s="399">
        <v>23141.5</v>
      </c>
      <c r="F431" s="399">
        <v>0</v>
      </c>
      <c r="G431" s="524">
        <f t="shared" si="29"/>
        <v>23141.5</v>
      </c>
      <c r="H431" s="400">
        <f>SUMIF('Trans Line Reconciliation'!$B$5:$B$84,$B431,'Trans Line Reconciliation'!$M$5:$M$84)</f>
        <v>0</v>
      </c>
      <c r="I431" s="417">
        <f>SUMIF('Trans Line Reconciliation'!$B$5:$B$84,$B431,'Trans Line Reconciliation'!$N$5:$N$84)</f>
        <v>0</v>
      </c>
      <c r="J431" s="417">
        <f>SUMIF('Trans Line Reconciliation'!$B$5:$B$84,$B431,'Trans Line Reconciliation'!$O$5:$O$84)</f>
        <v>0</v>
      </c>
      <c r="K431" s="400">
        <f>SUMIF('Trans Line Reconciliation'!$B$5:$B$84,$B431,'Trans Line Reconciliation'!$P$5:$P$84)</f>
        <v>0</v>
      </c>
      <c r="L431" s="417">
        <f>SUMIF('Trans Line Reconciliation'!$B$5:$B$84,$B431,'Trans Line Reconciliation'!$Q$5:$Q$84)</f>
        <v>23141.5</v>
      </c>
      <c r="M431" s="417">
        <f>SUMIF('Trans Line Reconciliation'!$B$5:$B$84,$B431,'Trans Line Reconciliation'!$R$5:$R$84)</f>
        <v>0</v>
      </c>
      <c r="N431" s="398" t="s">
        <v>2248</v>
      </c>
      <c r="O431" s="398"/>
      <c r="P431" s="403">
        <f>SUMIF('Antelope Bailey Split BA'!$B$7:$B$29,B431,'Antelope Bailey Split BA'!$C$7:$C$29)</f>
        <v>0</v>
      </c>
      <c r="Q431" s="403" t="str">
        <f>IF(AND(P431=1,'Plant Total by Account'!$H$1=2),"EKWRA","")</f>
        <v/>
      </c>
      <c r="S431" s="403">
        <f>SUMIF('ISO w_System Splits'!$D$524:$D$615,B431,'ISO w_System Splits'!$P$524:$P$615)</f>
        <v>0</v>
      </c>
      <c r="T431" s="403" t="str">
        <f>IF(AND(S431&lt;&gt;0,'Plant Total by Account'!$H$1=2),"EKWRA TL Change","")</f>
        <v/>
      </c>
      <c r="V431" s="77">
        <v>4307</v>
      </c>
      <c r="W431" s="404">
        <f t="shared" si="30"/>
        <v>0</v>
      </c>
    </row>
    <row r="432" spans="1:23" ht="12.75" customHeight="1" x14ac:dyDescent="0.2">
      <c r="A432" s="386" t="s">
        <v>1452</v>
      </c>
      <c r="B432" s="398" t="s">
        <v>2223</v>
      </c>
      <c r="C432" s="398" t="s">
        <v>3331</v>
      </c>
      <c r="D432" s="399">
        <v>0</v>
      </c>
      <c r="E432" s="399">
        <v>5448.7300000000005</v>
      </c>
      <c r="F432" s="399">
        <v>0</v>
      </c>
      <c r="G432" s="524">
        <f t="shared" si="29"/>
        <v>5448.7300000000005</v>
      </c>
      <c r="H432" s="400">
        <f>SUMIF('Trans Line Reconciliation'!$B$5:$B$84,$B432,'Trans Line Reconciliation'!$M$5:$M$84)</f>
        <v>0</v>
      </c>
      <c r="I432" s="417">
        <f>SUMIF('Trans Line Reconciliation'!$B$5:$B$84,$B432,'Trans Line Reconciliation'!$N$5:$N$84)</f>
        <v>0</v>
      </c>
      <c r="J432" s="417">
        <f>SUMIF('Trans Line Reconciliation'!$B$5:$B$84,$B432,'Trans Line Reconciliation'!$O$5:$O$84)</f>
        <v>0</v>
      </c>
      <c r="K432" s="400">
        <f>SUMIF('Trans Line Reconciliation'!$B$5:$B$84,$B432,'Trans Line Reconciliation'!$P$5:$P$84)</f>
        <v>0</v>
      </c>
      <c r="L432" s="417">
        <f>SUMIF('Trans Line Reconciliation'!$B$5:$B$84,$B432,'Trans Line Reconciliation'!$Q$5:$Q$84)</f>
        <v>5448.7300000000005</v>
      </c>
      <c r="M432" s="417">
        <f>SUMIF('Trans Line Reconciliation'!$B$5:$B$84,$B432,'Trans Line Reconciliation'!$R$5:$R$84)</f>
        <v>0</v>
      </c>
      <c r="N432" s="398" t="s">
        <v>2248</v>
      </c>
      <c r="O432" s="398"/>
      <c r="P432" s="403">
        <f>SUMIF('Antelope Bailey Split BA'!$B$7:$B$29,B432,'Antelope Bailey Split BA'!$C$7:$C$29)</f>
        <v>0</v>
      </c>
      <c r="Q432" s="403" t="str">
        <f>IF(AND(P432=1,'Plant Total by Account'!$H$1=2),"EKWRA","")</f>
        <v/>
      </c>
      <c r="S432" s="403">
        <f>SUMIF('ISO w_System Splits'!$D$524:$D$615,B432,'ISO w_System Splits'!$P$524:$P$615)</f>
        <v>0</v>
      </c>
      <c r="T432" s="403" t="str">
        <f>IF(AND(S432&lt;&gt;0,'Plant Total by Account'!$H$1=2),"EKWRA TL Change","")</f>
        <v/>
      </c>
      <c r="V432" s="77">
        <v>4314</v>
      </c>
      <c r="W432" s="404">
        <f t="shared" si="30"/>
        <v>0</v>
      </c>
    </row>
    <row r="433" spans="1:23" ht="12.75" customHeight="1" x14ac:dyDescent="0.2">
      <c r="A433" s="386" t="s">
        <v>521</v>
      </c>
      <c r="B433" s="398" t="s">
        <v>2224</v>
      </c>
      <c r="C433" s="398" t="s">
        <v>3331</v>
      </c>
      <c r="D433" s="399">
        <v>0</v>
      </c>
      <c r="E433" s="418">
        <v>0</v>
      </c>
      <c r="F433" s="399">
        <v>0</v>
      </c>
      <c r="G433" s="524">
        <f t="shared" si="29"/>
        <v>0</v>
      </c>
      <c r="H433" s="400">
        <f>SUMIF('Trans Line Reconciliation'!$B$5:$B$84,$B433,'Trans Line Reconciliation'!$M$5:$M$84)</f>
        <v>0</v>
      </c>
      <c r="I433" s="417">
        <f>SUMIF('Trans Line Reconciliation'!$B$5:$B$84,$B433,'Trans Line Reconciliation'!$N$5:$N$84)</f>
        <v>0</v>
      </c>
      <c r="J433" s="417">
        <f>SUMIF('Trans Line Reconciliation'!$B$5:$B$84,$B433,'Trans Line Reconciliation'!$O$5:$O$84)</f>
        <v>0</v>
      </c>
      <c r="K433" s="400">
        <f>SUMIF('Trans Line Reconciliation'!$B$5:$B$84,$B433,'Trans Line Reconciliation'!$P$5:$P$84)</f>
        <v>0</v>
      </c>
      <c r="L433" s="417">
        <f>SUMIF('Trans Line Reconciliation'!$B$5:$B$84,$B433,'Trans Line Reconciliation'!$Q$5:$Q$84)</f>
        <v>0</v>
      </c>
      <c r="M433" s="417">
        <f>SUMIF('Trans Line Reconciliation'!$B$5:$B$84,$B433,'Trans Line Reconciliation'!$R$5:$R$84)</f>
        <v>0</v>
      </c>
      <c r="N433" s="398" t="s">
        <v>2248</v>
      </c>
      <c r="O433" s="398"/>
      <c r="P433" s="403">
        <f>SUMIF('Antelope Bailey Split BA'!$B$7:$B$29,B433,'Antelope Bailey Split BA'!$C$7:$C$29)</f>
        <v>0</v>
      </c>
      <c r="Q433" s="403" t="str">
        <f>IF(AND(P433=1,'Plant Total by Account'!$H$1=2),"EKWRA","")</f>
        <v/>
      </c>
      <c r="S433" s="403">
        <f>SUMIF('ISO w_System Splits'!$D$524:$D$615,B433,'ISO w_System Splits'!$P$524:$P$615)</f>
        <v>0</v>
      </c>
      <c r="T433" s="403" t="str">
        <f>IF(AND(S433&lt;&gt;0,'Plant Total by Account'!$H$1=2),"EKWRA TL Change","")</f>
        <v/>
      </c>
      <c r="V433" s="77">
        <v>4319</v>
      </c>
      <c r="W433" s="404">
        <f t="shared" si="30"/>
        <v>0</v>
      </c>
    </row>
    <row r="434" spans="1:23" ht="12.75" customHeight="1" x14ac:dyDescent="0.2">
      <c r="A434" s="386" t="s">
        <v>2324</v>
      </c>
      <c r="B434" s="398" t="s">
        <v>2225</v>
      </c>
      <c r="C434" s="398" t="s">
        <v>3331</v>
      </c>
      <c r="D434" s="399">
        <v>0</v>
      </c>
      <c r="E434" s="418">
        <v>0</v>
      </c>
      <c r="F434" s="399">
        <v>0</v>
      </c>
      <c r="G434" s="524">
        <f t="shared" si="29"/>
        <v>0</v>
      </c>
      <c r="H434" s="400">
        <f>SUMIF('Trans Line Reconciliation'!$B$5:$B$84,$B434,'Trans Line Reconciliation'!$M$5:$M$84)</f>
        <v>0</v>
      </c>
      <c r="I434" s="417">
        <f>SUMIF('Trans Line Reconciliation'!$B$5:$B$84,$B434,'Trans Line Reconciliation'!$N$5:$N$84)</f>
        <v>0</v>
      </c>
      <c r="J434" s="417">
        <f>SUMIF('Trans Line Reconciliation'!$B$5:$B$84,$B434,'Trans Line Reconciliation'!$O$5:$O$84)</f>
        <v>0</v>
      </c>
      <c r="K434" s="400">
        <f>SUMIF('Trans Line Reconciliation'!$B$5:$B$84,$B434,'Trans Line Reconciliation'!$P$5:$P$84)</f>
        <v>0</v>
      </c>
      <c r="L434" s="417">
        <f>SUMIF('Trans Line Reconciliation'!$B$5:$B$84,$B434,'Trans Line Reconciliation'!$Q$5:$Q$84)</f>
        <v>0</v>
      </c>
      <c r="M434" s="417">
        <f>SUMIF('Trans Line Reconciliation'!$B$5:$B$84,$B434,'Trans Line Reconciliation'!$R$5:$R$84)</f>
        <v>0</v>
      </c>
      <c r="N434" s="398" t="s">
        <v>2248</v>
      </c>
      <c r="O434" s="398"/>
      <c r="P434" s="403">
        <f>SUMIF('Antelope Bailey Split BA'!$B$7:$B$29,B434,'Antelope Bailey Split BA'!$C$7:$C$29)</f>
        <v>0</v>
      </c>
      <c r="Q434" s="403" t="str">
        <f>IF(AND(P434=1,'Plant Total by Account'!$H$1=2),"EKWRA","")</f>
        <v/>
      </c>
      <c r="S434" s="403">
        <f>SUMIF('ISO w_System Splits'!$D$524:$D$615,B434,'ISO w_System Splits'!$P$524:$P$615)</f>
        <v>0</v>
      </c>
      <c r="T434" s="403" t="str">
        <f>IF(AND(S434&lt;&gt;0,'Plant Total by Account'!$H$1=2),"EKWRA TL Change","")</f>
        <v/>
      </c>
      <c r="V434" s="77">
        <v>4414</v>
      </c>
      <c r="W434" s="404">
        <f t="shared" si="30"/>
        <v>0</v>
      </c>
    </row>
    <row r="435" spans="1:23" ht="12.75" customHeight="1" x14ac:dyDescent="0.2">
      <c r="A435" s="386" t="s">
        <v>1453</v>
      </c>
      <c r="B435" s="398" t="s">
        <v>2226</v>
      </c>
      <c r="C435" s="398" t="s">
        <v>3331</v>
      </c>
      <c r="D435" s="399">
        <v>0</v>
      </c>
      <c r="E435" s="418">
        <v>0</v>
      </c>
      <c r="F435" s="399">
        <v>0</v>
      </c>
      <c r="G435" s="524">
        <f t="shared" si="29"/>
        <v>0</v>
      </c>
      <c r="H435" s="400">
        <f>SUMIF('Trans Line Reconciliation'!$B$5:$B$84,$B435,'Trans Line Reconciliation'!$M$5:$M$84)</f>
        <v>0</v>
      </c>
      <c r="I435" s="417">
        <f>SUMIF('Trans Line Reconciliation'!$B$5:$B$84,$B435,'Trans Line Reconciliation'!$N$5:$N$84)</f>
        <v>0</v>
      </c>
      <c r="J435" s="417">
        <f>SUMIF('Trans Line Reconciliation'!$B$5:$B$84,$B435,'Trans Line Reconciliation'!$O$5:$O$84)</f>
        <v>0</v>
      </c>
      <c r="K435" s="400">
        <f>SUMIF('Trans Line Reconciliation'!$B$5:$B$84,$B435,'Trans Line Reconciliation'!$P$5:$P$84)</f>
        <v>0</v>
      </c>
      <c r="L435" s="417">
        <f>SUMIF('Trans Line Reconciliation'!$B$5:$B$84,$B435,'Trans Line Reconciliation'!$Q$5:$Q$84)</f>
        <v>0</v>
      </c>
      <c r="M435" s="417">
        <f>SUMIF('Trans Line Reconciliation'!$B$5:$B$84,$B435,'Trans Line Reconciliation'!$R$5:$R$84)</f>
        <v>0</v>
      </c>
      <c r="N435" s="398" t="s">
        <v>2248</v>
      </c>
      <c r="O435" s="398"/>
      <c r="P435" s="403">
        <f>SUMIF('Antelope Bailey Split BA'!$B$7:$B$29,B435,'Antelope Bailey Split BA'!$C$7:$C$29)</f>
        <v>0</v>
      </c>
      <c r="Q435" s="403" t="str">
        <f>IF(AND(P435=1,'Plant Total by Account'!$H$1=2),"EKWRA","")</f>
        <v/>
      </c>
      <c r="S435" s="403">
        <f>SUMIF('ISO w_System Splits'!$D$524:$D$615,B435,'ISO w_System Splits'!$P$524:$P$615)</f>
        <v>0</v>
      </c>
      <c r="T435" s="403" t="str">
        <f>IF(AND(S435&lt;&gt;0,'Plant Total by Account'!$H$1=2),"EKWRA TL Change","")</f>
        <v/>
      </c>
      <c r="V435" s="77">
        <v>4419</v>
      </c>
      <c r="W435" s="404">
        <f t="shared" si="30"/>
        <v>0</v>
      </c>
    </row>
    <row r="436" spans="1:23" ht="12.75" customHeight="1" x14ac:dyDescent="0.2">
      <c r="A436" s="386" t="s">
        <v>522</v>
      </c>
      <c r="B436" s="398" t="s">
        <v>2227</v>
      </c>
      <c r="C436" s="398" t="s">
        <v>3331</v>
      </c>
      <c r="D436" s="399">
        <v>0</v>
      </c>
      <c r="E436" s="399">
        <v>0</v>
      </c>
      <c r="F436" s="399">
        <v>0</v>
      </c>
      <c r="G436" s="524">
        <f t="shared" si="29"/>
        <v>0</v>
      </c>
      <c r="H436" s="400">
        <f>SUMIF('Trans Line Reconciliation'!$B$5:$B$84,$B436,'Trans Line Reconciliation'!$M$5:$M$84)</f>
        <v>0</v>
      </c>
      <c r="I436" s="417">
        <f>SUMIF('Trans Line Reconciliation'!$B$5:$B$84,$B436,'Trans Line Reconciliation'!$N$5:$N$84)</f>
        <v>0</v>
      </c>
      <c r="J436" s="417">
        <f>SUMIF('Trans Line Reconciliation'!$B$5:$B$84,$B436,'Trans Line Reconciliation'!$O$5:$O$84)</f>
        <v>0</v>
      </c>
      <c r="K436" s="400">
        <f>SUMIF('Trans Line Reconciliation'!$B$5:$B$84,$B436,'Trans Line Reconciliation'!$P$5:$P$84)</f>
        <v>0</v>
      </c>
      <c r="L436" s="417">
        <f>SUMIF('Trans Line Reconciliation'!$B$5:$B$84,$B436,'Trans Line Reconciliation'!$Q$5:$Q$84)</f>
        <v>0</v>
      </c>
      <c r="M436" s="417">
        <f>SUMIF('Trans Line Reconciliation'!$B$5:$B$84,$B436,'Trans Line Reconciliation'!$R$5:$R$84)</f>
        <v>0</v>
      </c>
      <c r="N436" s="398" t="s">
        <v>2248</v>
      </c>
      <c r="O436" s="398"/>
      <c r="P436" s="403">
        <f>SUMIF('Antelope Bailey Split BA'!$B$7:$B$29,B436,'Antelope Bailey Split BA'!$C$7:$C$29)</f>
        <v>0</v>
      </c>
      <c r="Q436" s="403" t="str">
        <f>IF(AND(P436=1,'Plant Total by Account'!$H$1=2),"EKWRA","")</f>
        <v/>
      </c>
      <c r="S436" s="403">
        <f>SUMIF('ISO w_System Splits'!$D$524:$D$615,B436,'ISO w_System Splits'!$P$524:$P$615)</f>
        <v>0</v>
      </c>
      <c r="T436" s="403" t="str">
        <f>IF(AND(S436&lt;&gt;0,'Plant Total by Account'!$H$1=2),"EKWRA TL Change","")</f>
        <v/>
      </c>
      <c r="V436" s="77">
        <v>4518</v>
      </c>
      <c r="W436" s="404">
        <f t="shared" si="30"/>
        <v>0</v>
      </c>
    </row>
    <row r="437" spans="1:23" ht="12.75" customHeight="1" x14ac:dyDescent="0.2">
      <c r="A437" s="386" t="s">
        <v>1454</v>
      </c>
      <c r="B437" s="398" t="s">
        <v>2228</v>
      </c>
      <c r="C437" s="398" t="s">
        <v>3329</v>
      </c>
      <c r="D437" s="399">
        <v>0</v>
      </c>
      <c r="E437" s="399">
        <v>0</v>
      </c>
      <c r="F437" s="399">
        <v>256666.35</v>
      </c>
      <c r="G437" s="524">
        <f t="shared" si="29"/>
        <v>256666.35</v>
      </c>
      <c r="H437" s="400">
        <f>SUMIF('Trans Line Reconciliation'!$B$5:$B$84,$B437,'Trans Line Reconciliation'!$M$5:$M$84)</f>
        <v>0</v>
      </c>
      <c r="I437" s="417">
        <f>SUMIF('Trans Line Reconciliation'!$B$5:$B$84,$B437,'Trans Line Reconciliation'!$N$5:$N$84)</f>
        <v>0</v>
      </c>
      <c r="J437" s="417">
        <f>SUMIF('Trans Line Reconciliation'!$B$5:$B$84,$B437,'Trans Line Reconciliation'!$O$5:$O$84)</f>
        <v>0</v>
      </c>
      <c r="K437" s="400">
        <f>SUMIF('Trans Line Reconciliation'!$B$5:$B$84,$B437,'Trans Line Reconciliation'!$P$5:$P$84)</f>
        <v>0</v>
      </c>
      <c r="L437" s="417">
        <f>SUMIF('Trans Line Reconciliation'!$B$5:$B$84,$B437,'Trans Line Reconciliation'!$Q$5:$Q$84)</f>
        <v>0</v>
      </c>
      <c r="M437" s="417">
        <f>SUMIF('Trans Line Reconciliation'!$B$5:$B$84,$B437,'Trans Line Reconciliation'!$R$5:$R$84)</f>
        <v>256666.35</v>
      </c>
      <c r="N437" s="398" t="s">
        <v>2248</v>
      </c>
      <c r="O437" s="398"/>
      <c r="P437" s="403">
        <f>SUMIF('Antelope Bailey Split BA'!$B$7:$B$29,B437,'Antelope Bailey Split BA'!$C$7:$C$29)</f>
        <v>0</v>
      </c>
      <c r="Q437" s="403" t="str">
        <f>IF(AND(P437=1,'Plant Total by Account'!$H$1=2),"EKWRA","")</f>
        <v/>
      </c>
      <c r="S437" s="403">
        <f>SUMIF('ISO w_System Splits'!$D$524:$D$615,B437,'ISO w_System Splits'!$P$524:$P$615)</f>
        <v>0</v>
      </c>
      <c r="T437" s="403" t="str">
        <f>IF(AND(S437&lt;&gt;0,'Plant Total by Account'!$H$1=2),"EKWRA TL Change","")</f>
        <v/>
      </c>
      <c r="V437" s="77">
        <v>4570</v>
      </c>
      <c r="W437" s="404">
        <f t="shared" si="30"/>
        <v>0</v>
      </c>
    </row>
    <row r="438" spans="1:23" ht="12.75" customHeight="1" x14ac:dyDescent="0.2">
      <c r="A438" s="386" t="s">
        <v>523</v>
      </c>
      <c r="B438" s="398" t="s">
        <v>2229</v>
      </c>
      <c r="C438" s="398"/>
      <c r="D438" s="399">
        <v>0</v>
      </c>
      <c r="E438" s="399">
        <v>235737.67</v>
      </c>
      <c r="F438" s="399">
        <v>0</v>
      </c>
      <c r="G438" s="524">
        <f t="shared" si="29"/>
        <v>235737.67</v>
      </c>
      <c r="H438" s="400">
        <f>SUMIF('Trans Line Reconciliation'!$B$5:$B$84,$B438,'Trans Line Reconciliation'!$M$5:$M$84)</f>
        <v>0</v>
      </c>
      <c r="I438" s="417">
        <f>SUMIF('Trans Line Reconciliation'!$B$5:$B$84,$B438,'Trans Line Reconciliation'!$N$5:$N$84)</f>
        <v>0</v>
      </c>
      <c r="J438" s="417">
        <f>SUMIF('Trans Line Reconciliation'!$B$5:$B$84,$B438,'Trans Line Reconciliation'!$O$5:$O$84)</f>
        <v>0</v>
      </c>
      <c r="K438" s="400">
        <f>SUMIF('Trans Line Reconciliation'!$B$5:$B$84,$B438,'Trans Line Reconciliation'!$P$5:$P$84)</f>
        <v>0</v>
      </c>
      <c r="L438" s="417">
        <f>SUMIF('Trans Line Reconciliation'!$B$5:$B$84,$B438,'Trans Line Reconciliation'!$Q$5:$Q$84)</f>
        <v>235737.67</v>
      </c>
      <c r="M438" s="417">
        <f>SUMIF('Trans Line Reconciliation'!$B$5:$B$84,$B438,'Trans Line Reconciliation'!$R$5:$R$84)</f>
        <v>0</v>
      </c>
      <c r="N438" s="398" t="s">
        <v>2248</v>
      </c>
      <c r="O438" s="398"/>
      <c r="P438" s="403">
        <f>SUMIF('Antelope Bailey Split BA'!$B$7:$B$29,B438,'Antelope Bailey Split BA'!$C$7:$C$29)</f>
        <v>0</v>
      </c>
      <c r="Q438" s="403" t="str">
        <f>IF(AND(P438=1,'Plant Total by Account'!$H$1=2),"EKWRA","")</f>
        <v/>
      </c>
      <c r="S438" s="403">
        <f>SUMIF('ISO w_System Splits'!$D$524:$D$615,B438,'ISO w_System Splits'!$P$524:$P$615)</f>
        <v>0</v>
      </c>
      <c r="T438" s="403" t="str">
        <f>IF(AND(S438&lt;&gt;0,'Plant Total by Account'!$H$1=2),"EKWRA TL Change","")</f>
        <v/>
      </c>
      <c r="V438" s="77">
        <v>4605</v>
      </c>
      <c r="W438" s="404">
        <f t="shared" si="30"/>
        <v>0</v>
      </c>
    </row>
    <row r="439" spans="1:23" ht="12.75" customHeight="1" x14ac:dyDescent="0.2">
      <c r="A439" s="386" t="s">
        <v>1455</v>
      </c>
      <c r="B439" s="398" t="s">
        <v>2230</v>
      </c>
      <c r="C439" s="398" t="s">
        <v>3329</v>
      </c>
      <c r="D439" s="399">
        <v>0</v>
      </c>
      <c r="E439" s="399">
        <v>7825.3600000000006</v>
      </c>
      <c r="F439" s="399">
        <v>0</v>
      </c>
      <c r="G439" s="524">
        <f t="shared" si="29"/>
        <v>7825.3600000000006</v>
      </c>
      <c r="H439" s="400">
        <f>SUMIF('Trans Line Reconciliation'!$B$5:$B$84,$B439,'Trans Line Reconciliation'!$M$5:$M$84)</f>
        <v>0</v>
      </c>
      <c r="I439" s="417">
        <f>SUMIF('Trans Line Reconciliation'!$B$5:$B$84,$B439,'Trans Line Reconciliation'!$N$5:$N$84)</f>
        <v>0</v>
      </c>
      <c r="J439" s="417">
        <f>SUMIF('Trans Line Reconciliation'!$B$5:$B$84,$B439,'Trans Line Reconciliation'!$O$5:$O$84)</f>
        <v>0</v>
      </c>
      <c r="K439" s="400">
        <f>SUMIF('Trans Line Reconciliation'!$B$5:$B$84,$B439,'Trans Line Reconciliation'!$P$5:$P$84)</f>
        <v>0</v>
      </c>
      <c r="L439" s="417">
        <f>SUMIF('Trans Line Reconciliation'!$B$5:$B$84,$B439,'Trans Line Reconciliation'!$Q$5:$Q$84)</f>
        <v>7825.3600000000006</v>
      </c>
      <c r="M439" s="417">
        <f>SUMIF('Trans Line Reconciliation'!$B$5:$B$84,$B439,'Trans Line Reconciliation'!$R$5:$R$84)</f>
        <v>0</v>
      </c>
      <c r="N439" s="398" t="s">
        <v>2248</v>
      </c>
      <c r="O439" s="398"/>
      <c r="P439" s="403">
        <f>SUMIF('Antelope Bailey Split BA'!$B$7:$B$29,B439,'Antelope Bailey Split BA'!$C$7:$C$29)</f>
        <v>0</v>
      </c>
      <c r="Q439" s="403" t="str">
        <f>IF(AND(P439=1,'Plant Total by Account'!$H$1=2),"EKWRA","")</f>
        <v/>
      </c>
      <c r="S439" s="403">
        <f>SUMIF('ISO w_System Splits'!$D$524:$D$615,B439,'ISO w_System Splits'!$P$524:$P$615)</f>
        <v>0</v>
      </c>
      <c r="T439" s="403" t="str">
        <f>IF(AND(S439&lt;&gt;0,'Plant Total by Account'!$H$1=2),"EKWRA TL Change","")</f>
        <v/>
      </c>
      <c r="V439" s="77">
        <v>4625</v>
      </c>
      <c r="W439" s="404">
        <f t="shared" si="30"/>
        <v>0</v>
      </c>
    </row>
    <row r="440" spans="1:23" ht="12.75" customHeight="1" x14ac:dyDescent="0.2">
      <c r="A440" s="408" t="s">
        <v>2325</v>
      </c>
      <c r="B440" s="398" t="s">
        <v>1107</v>
      </c>
      <c r="C440" s="398" t="s">
        <v>2326</v>
      </c>
      <c r="D440" s="399">
        <v>33304.81</v>
      </c>
      <c r="E440" s="399">
        <v>0</v>
      </c>
      <c r="F440" s="399">
        <v>1232.8699999999999</v>
      </c>
      <c r="G440" s="524">
        <f t="shared" si="29"/>
        <v>34537.68</v>
      </c>
      <c r="H440" s="400">
        <f>SUMIF('Trans Line Reconciliation'!$B$5:$B$84,$B440,'Trans Line Reconciliation'!$M$5:$M$84)</f>
        <v>0</v>
      </c>
      <c r="I440" s="417">
        <f>SUMIF('Trans Line Reconciliation'!$B$5:$B$84,$B440,'Trans Line Reconciliation'!$N$5:$N$84)</f>
        <v>0</v>
      </c>
      <c r="J440" s="417">
        <f>SUMIF('Trans Line Reconciliation'!$B$5:$B$84,$B440,'Trans Line Reconciliation'!$O$5:$O$84)</f>
        <v>0</v>
      </c>
      <c r="K440" s="400">
        <f>SUMIF('Trans Line Reconciliation'!$B$5:$B$84,$B440,'Trans Line Reconciliation'!$P$5:$P$84)</f>
        <v>33304.81</v>
      </c>
      <c r="L440" s="417">
        <f>SUMIF('Trans Line Reconciliation'!$B$5:$B$84,$B440,'Trans Line Reconciliation'!$Q$5:$Q$84)</f>
        <v>0</v>
      </c>
      <c r="M440" s="417">
        <f>SUMIF('Trans Line Reconciliation'!$B$5:$B$84,$B440,'Trans Line Reconciliation'!$R$5:$R$84)</f>
        <v>1232.8699999999999</v>
      </c>
      <c r="N440" s="398" t="s">
        <v>2248</v>
      </c>
      <c r="O440" s="398"/>
      <c r="P440" s="403">
        <f>SUMIF('Antelope Bailey Split BA'!$B$7:$B$29,B440,'Antelope Bailey Split BA'!$C$7:$C$29)</f>
        <v>0</v>
      </c>
      <c r="Q440" s="403" t="str">
        <f>IF(AND(P440=1,'Plant Total by Account'!$H$1=2),"EKWRA","")</f>
        <v/>
      </c>
      <c r="S440" s="403">
        <f>SUMIF('ISO w_System Splits'!$D$524:$D$615,B440,'ISO w_System Splits'!$P$524:$P$615)</f>
        <v>0</v>
      </c>
      <c r="T440" s="403" t="str">
        <f>IF(AND(S440&lt;&gt;0,'Plant Total by Account'!$H$1=2),"EKWRA TL Change","")</f>
        <v/>
      </c>
      <c r="V440" s="77">
        <v>4700</v>
      </c>
      <c r="W440" s="404">
        <f t="shared" si="30"/>
        <v>0</v>
      </c>
    </row>
    <row r="441" spans="1:23" ht="12.75" customHeight="1" x14ac:dyDescent="0.2">
      <c r="A441" s="386" t="s">
        <v>2327</v>
      </c>
      <c r="B441" s="398" t="s">
        <v>1108</v>
      </c>
      <c r="C441" s="398" t="s">
        <v>3334</v>
      </c>
      <c r="D441" s="399">
        <v>243214.84000000003</v>
      </c>
      <c r="E441" s="399">
        <v>3295.58</v>
      </c>
      <c r="F441" s="399">
        <v>0</v>
      </c>
      <c r="G441" s="524">
        <f t="shared" si="29"/>
        <v>246510.42</v>
      </c>
      <c r="H441" s="400">
        <f>SUMIF('Trans Line Reconciliation'!$B$5:$B$84,$B441,'Trans Line Reconciliation'!$M$5:$M$84)</f>
        <v>94330.825096154091</v>
      </c>
      <c r="I441" s="417">
        <f>SUMIF('Trans Line Reconciliation'!$B$5:$B$84,$B441,'Trans Line Reconciliation'!$N$5:$N$84)</f>
        <v>1278.1900173952522</v>
      </c>
      <c r="J441" s="417">
        <f>SUMIF('Trans Line Reconciliation'!$B$5:$B$84,$B441,'Trans Line Reconciliation'!$O$5:$O$84)</f>
        <v>0</v>
      </c>
      <c r="K441" s="400">
        <f>SUMIF('Trans Line Reconciliation'!$B$5:$B$84,$B441,'Trans Line Reconciliation'!$P$5:$P$84)</f>
        <v>148884.01490384593</v>
      </c>
      <c r="L441" s="417">
        <f>SUMIF('Trans Line Reconciliation'!$B$5:$B$84,$B441,'Trans Line Reconciliation'!$Q$5:$Q$84)</f>
        <v>2017.3899826047477</v>
      </c>
      <c r="M441" s="417">
        <f>SUMIF('Trans Line Reconciliation'!$B$5:$B$84,$B441,'Trans Line Reconciliation'!$R$5:$R$84)</f>
        <v>0</v>
      </c>
      <c r="N441" s="398" t="s">
        <v>2248</v>
      </c>
      <c r="O441" s="398"/>
      <c r="P441" s="403">
        <f>SUMIF('Antelope Bailey Split BA'!$B$7:$B$29,B441,'Antelope Bailey Split BA'!$C$7:$C$29)</f>
        <v>0</v>
      </c>
      <c r="Q441" s="403" t="str">
        <f>IF(AND(P441=1,'Plant Total by Account'!$H$1=2),"EKWRA","")</f>
        <v/>
      </c>
      <c r="S441" s="403">
        <f>SUMIF('ISO w_System Splits'!$D$524:$D$615,B441,'ISO w_System Splits'!$P$524:$P$615)</f>
        <v>0</v>
      </c>
      <c r="T441" s="403" t="str">
        <f>IF(AND(S441&lt;&gt;0,'Plant Total by Account'!$H$1=2),"EKWRA TL Change","")</f>
        <v/>
      </c>
      <c r="V441" s="77">
        <v>4705</v>
      </c>
      <c r="W441" s="404">
        <f t="shared" si="30"/>
        <v>0</v>
      </c>
    </row>
    <row r="442" spans="1:23" ht="12.75" customHeight="1" x14ac:dyDescent="0.2">
      <c r="A442" s="386" t="s">
        <v>524</v>
      </c>
      <c r="B442" s="398" t="s">
        <v>2231</v>
      </c>
      <c r="C442" s="398" t="s">
        <v>3335</v>
      </c>
      <c r="D442" s="399">
        <v>10584.86</v>
      </c>
      <c r="E442" s="399">
        <v>0</v>
      </c>
      <c r="F442" s="399">
        <v>0</v>
      </c>
      <c r="G442" s="524">
        <f t="shared" si="29"/>
        <v>10584.86</v>
      </c>
      <c r="H442" s="400">
        <f>SUMIF('Trans Line Reconciliation'!$B$5:$B$84,$B442,'Trans Line Reconciliation'!$M$5:$M$84)</f>
        <v>0</v>
      </c>
      <c r="I442" s="417">
        <f>SUMIF('Trans Line Reconciliation'!$B$5:$B$84,$B442,'Trans Line Reconciliation'!$N$5:$N$84)</f>
        <v>0</v>
      </c>
      <c r="J442" s="417">
        <f>SUMIF('Trans Line Reconciliation'!$B$5:$B$84,$B442,'Trans Line Reconciliation'!$O$5:$O$84)</f>
        <v>0</v>
      </c>
      <c r="K442" s="400">
        <f>SUMIF('Trans Line Reconciliation'!$B$5:$B$84,$B442,'Trans Line Reconciliation'!$P$5:$P$84)</f>
        <v>10584.86</v>
      </c>
      <c r="L442" s="417">
        <f>SUMIF('Trans Line Reconciliation'!$B$5:$B$84,$B442,'Trans Line Reconciliation'!$Q$5:$Q$84)</f>
        <v>0</v>
      </c>
      <c r="M442" s="417">
        <f>SUMIF('Trans Line Reconciliation'!$B$5:$B$84,$B442,'Trans Line Reconciliation'!$R$5:$R$84)</f>
        <v>0</v>
      </c>
      <c r="N442" s="398" t="s">
        <v>2248</v>
      </c>
      <c r="O442" s="398"/>
      <c r="P442" s="403">
        <f>SUMIF('Antelope Bailey Split BA'!$B$7:$B$29,B442,'Antelope Bailey Split BA'!$C$7:$C$29)</f>
        <v>0</v>
      </c>
      <c r="Q442" s="403" t="str">
        <f>IF(AND(P442=1,'Plant Total by Account'!$H$1=2),"EKWRA","")</f>
        <v/>
      </c>
      <c r="S442" s="403">
        <f>SUMIF('ISO w_System Splits'!$D$524:$D$615,B442,'ISO w_System Splits'!$P$524:$P$615)</f>
        <v>0</v>
      </c>
      <c r="T442" s="403" t="str">
        <f>IF(AND(S442&lt;&gt;0,'Plant Total by Account'!$H$1=2),"EKWRA TL Change","")</f>
        <v/>
      </c>
      <c r="V442" s="77">
        <v>4730</v>
      </c>
      <c r="W442" s="404">
        <f t="shared" si="30"/>
        <v>0</v>
      </c>
    </row>
    <row r="443" spans="1:23" ht="12.75" customHeight="1" x14ac:dyDescent="0.2">
      <c r="A443" s="386" t="s">
        <v>525</v>
      </c>
      <c r="B443" s="398" t="s">
        <v>2232</v>
      </c>
      <c r="C443" s="398"/>
      <c r="D443" s="399">
        <v>137.69999999999999</v>
      </c>
      <c r="E443" s="399">
        <v>0</v>
      </c>
      <c r="F443" s="399">
        <v>0</v>
      </c>
      <c r="G443" s="524">
        <f t="shared" si="29"/>
        <v>137.69999999999999</v>
      </c>
      <c r="H443" s="400">
        <f>SUMIF('Trans Line Reconciliation'!$B$5:$B$84,$B443,'Trans Line Reconciliation'!$M$5:$M$84)</f>
        <v>0</v>
      </c>
      <c r="I443" s="417">
        <f>SUMIF('Trans Line Reconciliation'!$B$5:$B$84,$B443,'Trans Line Reconciliation'!$N$5:$N$84)</f>
        <v>0</v>
      </c>
      <c r="J443" s="417">
        <f>SUMIF('Trans Line Reconciliation'!$B$5:$B$84,$B443,'Trans Line Reconciliation'!$O$5:$O$84)</f>
        <v>0</v>
      </c>
      <c r="K443" s="400">
        <f>SUMIF('Trans Line Reconciliation'!$B$5:$B$84,$B443,'Trans Line Reconciliation'!$P$5:$P$84)</f>
        <v>137.69999999999999</v>
      </c>
      <c r="L443" s="417">
        <f>SUMIF('Trans Line Reconciliation'!$B$5:$B$84,$B443,'Trans Line Reconciliation'!$Q$5:$Q$84)</f>
        <v>0</v>
      </c>
      <c r="M443" s="417">
        <f>SUMIF('Trans Line Reconciliation'!$B$5:$B$84,$B443,'Trans Line Reconciliation'!$R$5:$R$84)</f>
        <v>0</v>
      </c>
      <c r="N443" s="398" t="s">
        <v>2248</v>
      </c>
      <c r="O443" s="398"/>
      <c r="P443" s="403">
        <f>SUMIF('Antelope Bailey Split BA'!$B$7:$B$29,B443,'Antelope Bailey Split BA'!$C$7:$C$29)</f>
        <v>0</v>
      </c>
      <c r="Q443" s="403" t="str">
        <f>IF(AND(P443=1,'Plant Total by Account'!$H$1=2),"EKWRA","")</f>
        <v/>
      </c>
      <c r="S443" s="403">
        <f>SUMIF('ISO w_System Splits'!$D$524:$D$615,B443,'ISO w_System Splits'!$P$524:$P$615)</f>
        <v>0</v>
      </c>
      <c r="T443" s="403" t="str">
        <f>IF(AND(S443&lt;&gt;0,'Plant Total by Account'!$H$1=2),"EKWRA TL Change","")</f>
        <v/>
      </c>
      <c r="V443" s="77">
        <v>4735</v>
      </c>
      <c r="W443" s="404">
        <f t="shared" si="30"/>
        <v>0</v>
      </c>
    </row>
    <row r="444" spans="1:23" ht="12.75" customHeight="1" x14ac:dyDescent="0.2">
      <c r="A444" s="386" t="s">
        <v>2328</v>
      </c>
      <c r="B444" s="398" t="s">
        <v>1109</v>
      </c>
      <c r="C444" s="398" t="s">
        <v>3329</v>
      </c>
      <c r="D444" s="399">
        <v>14315889.140000004</v>
      </c>
      <c r="E444" s="399">
        <v>2901.91</v>
      </c>
      <c r="F444" s="399">
        <v>173059.35</v>
      </c>
      <c r="G444" s="524">
        <f t="shared" si="29"/>
        <v>14491850.400000004</v>
      </c>
      <c r="H444" s="400">
        <f>SUMIF('Trans Line Reconciliation'!$B$5:$B$84,$B444,'Trans Line Reconciliation'!$M$5:$M$84)</f>
        <v>3933969.0247368701</v>
      </c>
      <c r="I444" s="417">
        <f>SUMIF('Trans Line Reconciliation'!$B$5:$B$84,$B444,'Trans Line Reconciliation'!$N$5:$N$84)</f>
        <v>796.905918808563</v>
      </c>
      <c r="J444" s="417">
        <f>SUMIF('Trans Line Reconciliation'!$B$5:$B$84,$B444,'Trans Line Reconciliation'!$O$5:$O$84)</f>
        <v>118008.8127454514</v>
      </c>
      <c r="K444" s="400">
        <f>SUMIF('Trans Line Reconciliation'!$B$5:$B$84,$B444,'Trans Line Reconciliation'!$P$5:$P$84)</f>
        <v>10381920.115263134</v>
      </c>
      <c r="L444" s="417">
        <f>SUMIF('Trans Line Reconciliation'!$B$5:$B$84,$B444,'Trans Line Reconciliation'!$Q$5:$Q$84)</f>
        <v>2105.0040811914369</v>
      </c>
      <c r="M444" s="417">
        <f>SUMIF('Trans Line Reconciliation'!$B$5:$B$84,$B444,'Trans Line Reconciliation'!$R$5:$R$84)</f>
        <v>55050.537254548603</v>
      </c>
      <c r="N444" s="398" t="s">
        <v>2248</v>
      </c>
      <c r="O444" s="398"/>
      <c r="P444" s="403">
        <f>SUMIF('Antelope Bailey Split BA'!$B$7:$B$29,B444,'Antelope Bailey Split BA'!$C$7:$C$29)</f>
        <v>0</v>
      </c>
      <c r="Q444" s="403" t="str">
        <f>IF(AND(P444=1,'Plant Total by Account'!$H$1=2),"EKWRA","")</f>
        <v/>
      </c>
      <c r="S444" s="403">
        <f>SUMIF('ISO w_System Splits'!$D$524:$D$615,B444,'ISO w_System Splits'!$P$524:$P$615)</f>
        <v>0</v>
      </c>
      <c r="T444" s="403" t="str">
        <f>IF(AND(S444&lt;&gt;0,'Plant Total by Account'!$H$1=2),"EKWRA TL Change","")</f>
        <v/>
      </c>
      <c r="V444" s="77">
        <v>4750</v>
      </c>
      <c r="W444" s="404">
        <f t="shared" si="30"/>
        <v>0</v>
      </c>
    </row>
    <row r="445" spans="1:23" ht="12.75" customHeight="1" x14ac:dyDescent="0.2">
      <c r="A445" s="386" t="s">
        <v>1336</v>
      </c>
      <c r="B445" s="398" t="s">
        <v>2233</v>
      </c>
      <c r="C445" s="398" t="s">
        <v>3331</v>
      </c>
      <c r="D445" s="399">
        <v>1079576.73</v>
      </c>
      <c r="E445" s="399">
        <v>0</v>
      </c>
      <c r="F445" s="399">
        <v>0</v>
      </c>
      <c r="G445" s="524">
        <f t="shared" si="29"/>
        <v>1079576.73</v>
      </c>
      <c r="H445" s="400">
        <f>SUMIF('Trans Line Reconciliation'!$B$5:$B$84,$B445,'Trans Line Reconciliation'!$M$5:$M$84)</f>
        <v>1079559.0700921258</v>
      </c>
      <c r="I445" s="417">
        <f>SUMIF('Trans Line Reconciliation'!$B$5:$B$84,$B445,'Trans Line Reconciliation'!$N$5:$N$84)</f>
        <v>0</v>
      </c>
      <c r="J445" s="417">
        <f>SUMIF('Trans Line Reconciliation'!$B$5:$B$84,$B445,'Trans Line Reconciliation'!$O$5:$O$84)</f>
        <v>0</v>
      </c>
      <c r="K445" s="400">
        <f>SUMIF('Trans Line Reconciliation'!$B$5:$B$84,$B445,'Trans Line Reconciliation'!$P$5:$P$84)</f>
        <v>17.659907874185592</v>
      </c>
      <c r="L445" s="417">
        <f>SUMIF('Trans Line Reconciliation'!$B$5:$B$84,$B445,'Trans Line Reconciliation'!$Q$5:$Q$84)</f>
        <v>0</v>
      </c>
      <c r="M445" s="417">
        <f>SUMIF('Trans Line Reconciliation'!$B$5:$B$84,$B445,'Trans Line Reconciliation'!$R$5:$R$84)</f>
        <v>0</v>
      </c>
      <c r="N445" s="398" t="s">
        <v>2248</v>
      </c>
      <c r="O445" s="398"/>
      <c r="P445" s="403">
        <f>SUMIF('Antelope Bailey Split BA'!$B$7:$B$29,B445,'Antelope Bailey Split BA'!$C$7:$C$29)</f>
        <v>0</v>
      </c>
      <c r="Q445" s="403" t="str">
        <f>IF(AND(P445=1,'Plant Total by Account'!$H$1=2),"EKWRA","")</f>
        <v/>
      </c>
      <c r="S445" s="403">
        <f>SUMIF('ISO w_System Splits'!$D$524:$D$615,B445,'ISO w_System Splits'!$P$524:$P$615)</f>
        <v>0</v>
      </c>
      <c r="T445" s="403" t="str">
        <f>IF(AND(S445&lt;&gt;0,'Plant Total by Account'!$H$1=2),"EKWRA TL Change","")</f>
        <v/>
      </c>
      <c r="V445" s="77">
        <v>4756</v>
      </c>
      <c r="W445" s="404">
        <f t="shared" si="30"/>
        <v>0</v>
      </c>
    </row>
    <row r="446" spans="1:23" ht="12.75" customHeight="1" x14ac:dyDescent="0.2">
      <c r="A446" s="386" t="s">
        <v>1337</v>
      </c>
      <c r="B446" s="398" t="s">
        <v>2234</v>
      </c>
      <c r="C446" s="398" t="s">
        <v>3336</v>
      </c>
      <c r="D446" s="399">
        <v>33310</v>
      </c>
      <c r="E446" s="399">
        <v>0</v>
      </c>
      <c r="F446" s="399">
        <v>0</v>
      </c>
      <c r="G446" s="524">
        <f t="shared" si="29"/>
        <v>33310</v>
      </c>
      <c r="H446" s="400">
        <f>SUMIF('Trans Line Reconciliation'!$B$5:$B$84,$B446,'Trans Line Reconciliation'!$M$5:$M$84)</f>
        <v>33310</v>
      </c>
      <c r="I446" s="417">
        <f>SUMIF('Trans Line Reconciliation'!$B$5:$B$84,$B446,'Trans Line Reconciliation'!$N$5:$N$84)</f>
        <v>0</v>
      </c>
      <c r="J446" s="417">
        <f>SUMIF('Trans Line Reconciliation'!$B$5:$B$84,$B446,'Trans Line Reconciliation'!$O$5:$O$84)</f>
        <v>0</v>
      </c>
      <c r="K446" s="400">
        <f>SUMIF('Trans Line Reconciliation'!$B$5:$B$84,$B446,'Trans Line Reconciliation'!$P$5:$P$84)</f>
        <v>0</v>
      </c>
      <c r="L446" s="417">
        <f>SUMIF('Trans Line Reconciliation'!$B$5:$B$84,$B446,'Trans Line Reconciliation'!$Q$5:$Q$84)</f>
        <v>0</v>
      </c>
      <c r="M446" s="417">
        <f>SUMIF('Trans Line Reconciliation'!$B$5:$B$84,$B446,'Trans Line Reconciliation'!$R$5:$R$84)</f>
        <v>0</v>
      </c>
      <c r="N446" s="398" t="s">
        <v>2248</v>
      </c>
      <c r="O446" s="398"/>
      <c r="P446" s="403">
        <f>SUMIF('Antelope Bailey Split BA'!$B$7:$B$29,B446,'Antelope Bailey Split BA'!$C$7:$C$29)</f>
        <v>0</v>
      </c>
      <c r="Q446" s="403" t="str">
        <f>IF(AND(P446=1,'Plant Total by Account'!$H$1=2),"EKWRA","")</f>
        <v/>
      </c>
      <c r="S446" s="403">
        <f>SUMIF('ISO w_System Splits'!$D$524:$D$615,B446,'ISO w_System Splits'!$P$524:$P$615)</f>
        <v>0</v>
      </c>
      <c r="T446" s="403" t="str">
        <f>IF(AND(S446&lt;&gt;0,'Plant Total by Account'!$H$1=2),"EKWRA TL Change","")</f>
        <v/>
      </c>
      <c r="V446" s="77">
        <v>4759</v>
      </c>
      <c r="W446" s="404">
        <f t="shared" si="30"/>
        <v>0</v>
      </c>
    </row>
    <row r="447" spans="1:23" ht="12.75" customHeight="1" x14ac:dyDescent="0.2">
      <c r="A447" s="386" t="s">
        <v>1338</v>
      </c>
      <c r="B447" s="398" t="s">
        <v>2235</v>
      </c>
      <c r="C447" s="398" t="s">
        <v>3329</v>
      </c>
      <c r="D447" s="399">
        <v>1277.33</v>
      </c>
      <c r="E447" s="399">
        <v>0</v>
      </c>
      <c r="F447" s="399">
        <v>0</v>
      </c>
      <c r="G447" s="524">
        <f t="shared" si="29"/>
        <v>1277.33</v>
      </c>
      <c r="H447" s="400">
        <f>SUMIF('Trans Line Reconciliation'!$B$5:$B$84,$B447,'Trans Line Reconciliation'!$M$5:$M$84)</f>
        <v>1277.33</v>
      </c>
      <c r="I447" s="417">
        <f>SUMIF('Trans Line Reconciliation'!$B$5:$B$84,$B447,'Trans Line Reconciliation'!$N$5:$N$84)</f>
        <v>0</v>
      </c>
      <c r="J447" s="417">
        <f>SUMIF('Trans Line Reconciliation'!$B$5:$B$84,$B447,'Trans Line Reconciliation'!$O$5:$O$84)</f>
        <v>0</v>
      </c>
      <c r="K447" s="400">
        <f>SUMIF('Trans Line Reconciliation'!$B$5:$B$84,$B447,'Trans Line Reconciliation'!$P$5:$P$84)</f>
        <v>0</v>
      </c>
      <c r="L447" s="417">
        <f>SUMIF('Trans Line Reconciliation'!$B$5:$B$84,$B447,'Trans Line Reconciliation'!$Q$5:$Q$84)</f>
        <v>0</v>
      </c>
      <c r="M447" s="417">
        <f>SUMIF('Trans Line Reconciliation'!$B$5:$B$84,$B447,'Trans Line Reconciliation'!$R$5:$R$84)</f>
        <v>0</v>
      </c>
      <c r="N447" s="398" t="s">
        <v>2248</v>
      </c>
      <c r="O447" s="398"/>
      <c r="P447" s="403">
        <f>SUMIF('Antelope Bailey Split BA'!$B$7:$B$29,B447,'Antelope Bailey Split BA'!$C$7:$C$29)</f>
        <v>0</v>
      </c>
      <c r="Q447" s="403" t="str">
        <f>IF(AND(P447=1,'Plant Total by Account'!$H$1=2),"EKWRA","")</f>
        <v/>
      </c>
      <c r="S447" s="403">
        <f>SUMIF('ISO w_System Splits'!$D$524:$D$615,B447,'ISO w_System Splits'!$P$524:$P$615)</f>
        <v>0</v>
      </c>
      <c r="T447" s="403" t="str">
        <f>IF(AND(S447&lt;&gt;0,'Plant Total by Account'!$H$1=2),"EKWRA TL Change","")</f>
        <v/>
      </c>
      <c r="V447" s="77">
        <v>4781</v>
      </c>
      <c r="W447" s="404">
        <f t="shared" si="30"/>
        <v>0</v>
      </c>
    </row>
    <row r="448" spans="1:23" ht="12.75" customHeight="1" thickBot="1" x14ac:dyDescent="0.25">
      <c r="A448" s="386" t="s">
        <v>1339</v>
      </c>
      <c r="B448" s="398" t="s">
        <v>2236</v>
      </c>
      <c r="C448" s="398" t="s">
        <v>3329</v>
      </c>
      <c r="D448" s="399">
        <v>165196.31000000003</v>
      </c>
      <c r="E448" s="399">
        <v>0</v>
      </c>
      <c r="F448" s="399">
        <v>0</v>
      </c>
      <c r="G448" s="524">
        <f t="shared" si="29"/>
        <v>165196.31000000003</v>
      </c>
      <c r="H448" s="400">
        <f>SUMIF('Trans Line Reconciliation'!$B$5:$B$84,$B448,'Trans Line Reconciliation'!$M$5:$M$84)</f>
        <v>165196.31</v>
      </c>
      <c r="I448" s="417">
        <f>SUMIF('Trans Line Reconciliation'!$B$5:$B$84,$B448,'Trans Line Reconciliation'!$N$5:$N$84)</f>
        <v>0</v>
      </c>
      <c r="J448" s="417">
        <f>SUMIF('Trans Line Reconciliation'!$B$5:$B$84,$B448,'Trans Line Reconciliation'!$O$5:$O$84)</f>
        <v>0</v>
      </c>
      <c r="K448" s="400">
        <f>SUMIF('Trans Line Reconciliation'!$B$5:$B$84,$B448,'Trans Line Reconciliation'!$P$5:$P$84)</f>
        <v>0</v>
      </c>
      <c r="L448" s="417">
        <f>SUMIF('Trans Line Reconciliation'!$B$5:$B$84,$B448,'Trans Line Reconciliation'!$Q$5:$Q$84)</f>
        <v>0</v>
      </c>
      <c r="M448" s="417">
        <f>SUMIF('Trans Line Reconciliation'!$B$5:$B$84,$B448,'Trans Line Reconciliation'!$R$5:$R$84)</f>
        <v>0</v>
      </c>
      <c r="N448" s="398" t="s">
        <v>2248</v>
      </c>
      <c r="O448" s="398"/>
      <c r="P448" s="403">
        <f>SUMIF('Antelope Bailey Split BA'!$B$7:$B$29,B448,'Antelope Bailey Split BA'!$C$7:$C$29)</f>
        <v>0</v>
      </c>
      <c r="Q448" s="403" t="str">
        <f>IF(AND(P448=1,'Plant Total by Account'!$H$1=2),"EKWRA","")</f>
        <v/>
      </c>
      <c r="S448" s="403">
        <f>SUMIF('ISO w_System Splits'!$D$524:$D$615,B448,'ISO w_System Splits'!$P$524:$P$615)</f>
        <v>0</v>
      </c>
      <c r="T448" s="403" t="str">
        <f>IF(AND(S448&lt;&gt;0,'Plant Total by Account'!$H$1=2),"EKWRA TL Change","")</f>
        <v/>
      </c>
      <c r="V448" s="77">
        <v>4782</v>
      </c>
      <c r="W448" s="404">
        <f t="shared" si="30"/>
        <v>0</v>
      </c>
    </row>
    <row r="449" spans="1:23" s="419" customFormat="1" ht="21" customHeight="1" thickTop="1" thickBot="1" x14ac:dyDescent="0.25">
      <c r="A449" s="440" t="s">
        <v>1033</v>
      </c>
      <c r="B449" s="441"/>
      <c r="C449" s="441"/>
      <c r="D449" s="442">
        <f t="shared" ref="D449:M449" si="31">SUM(D10:D448)</f>
        <v>238550302.20000002</v>
      </c>
      <c r="E449" s="442">
        <f t="shared" si="31"/>
        <v>327516031.86999995</v>
      </c>
      <c r="F449" s="442">
        <f t="shared" si="31"/>
        <v>3349237990.0787387</v>
      </c>
      <c r="G449" s="444">
        <f t="shared" si="31"/>
        <v>3915304324.1487374</v>
      </c>
      <c r="H449" s="443">
        <f t="shared" si="31"/>
        <v>156496378.21544701</v>
      </c>
      <c r="I449" s="443">
        <f t="shared" si="31"/>
        <v>166280485.41935614</v>
      </c>
      <c r="J449" s="443">
        <f t="shared" si="31"/>
        <v>1704804473.1067634</v>
      </c>
      <c r="K449" s="443">
        <f t="shared" si="31"/>
        <v>82053923.984552965</v>
      </c>
      <c r="L449" s="443">
        <f t="shared" si="31"/>
        <v>161235546.45064396</v>
      </c>
      <c r="M449" s="443">
        <f t="shared" si="31"/>
        <v>1644433516.9719775</v>
      </c>
      <c r="N449" s="403"/>
      <c r="P449" s="420"/>
      <c r="Q449" s="420"/>
      <c r="R449" s="387"/>
      <c r="V449" s="387"/>
      <c r="W449" s="404"/>
    </row>
    <row r="450" spans="1:23" s="77" customFormat="1" ht="12.75" customHeight="1" thickTop="1" x14ac:dyDescent="0.2">
      <c r="B450" s="388"/>
      <c r="C450" s="388"/>
      <c r="D450" s="114"/>
      <c r="E450" s="114"/>
      <c r="F450" s="114"/>
      <c r="G450" s="435"/>
      <c r="H450" s="9"/>
      <c r="I450" s="9"/>
      <c r="J450" s="9"/>
      <c r="K450" s="9"/>
      <c r="L450" s="407"/>
      <c r="M450" s="407"/>
      <c r="N450" s="388"/>
      <c r="P450" s="388"/>
      <c r="Q450" s="388"/>
      <c r="R450" s="387"/>
      <c r="V450" s="387"/>
      <c r="W450" s="404"/>
    </row>
    <row r="451" spans="1:23" s="77" customFormat="1" ht="12.75" customHeight="1" x14ac:dyDescent="0.2">
      <c r="A451" s="77" t="s">
        <v>447</v>
      </c>
      <c r="B451" s="388"/>
      <c r="C451" s="388"/>
      <c r="D451" s="421"/>
      <c r="E451" s="421"/>
      <c r="F451" s="421"/>
      <c r="G451" s="436"/>
      <c r="H451" s="422"/>
      <c r="I451" s="422"/>
      <c r="J451" s="422"/>
      <c r="K451" s="422"/>
      <c r="L451" s="423"/>
      <c r="M451" s="423"/>
      <c r="N451" s="388"/>
      <c r="P451" s="388"/>
      <c r="Q451" s="388"/>
      <c r="R451" s="387"/>
      <c r="V451" s="387"/>
      <c r="W451" s="404"/>
    </row>
    <row r="452" spans="1:23" ht="12.75" customHeight="1" thickBot="1" x14ac:dyDescent="0.25">
      <c r="A452" s="387" t="s">
        <v>448</v>
      </c>
      <c r="H452" s="424">
        <f>H449/D449</f>
        <v>0.65603093675496926</v>
      </c>
      <c r="I452" s="424">
        <f>I449/E449</f>
        <v>0.50770181987719432</v>
      </c>
      <c r="J452" s="424">
        <f>J449/F449</f>
        <v>0.50901264053399931</v>
      </c>
      <c r="K452" s="424">
        <f>K449/D449</f>
        <v>0.34396906324503057</v>
      </c>
      <c r="L452" s="425">
        <f>L449/E449</f>
        <v>0.49229818012280618</v>
      </c>
      <c r="M452" s="425">
        <f>M449/F449</f>
        <v>0.49098735946600131</v>
      </c>
      <c r="W452" s="404"/>
    </row>
    <row r="453" spans="1:23" ht="12.75" customHeight="1" x14ac:dyDescent="0.2">
      <c r="A453" s="386" t="s">
        <v>1809</v>
      </c>
      <c r="B453" s="398" t="s">
        <v>2244</v>
      </c>
      <c r="C453" s="398"/>
      <c r="D453" s="412">
        <v>0</v>
      </c>
      <c r="E453" s="114">
        <v>0</v>
      </c>
      <c r="F453" s="413">
        <v>23588991.670000002</v>
      </c>
      <c r="G453" s="522">
        <f t="shared" ref="G453:G474" si="32">SUM(D453:F453)</f>
        <v>23588991.670000002</v>
      </c>
      <c r="H453" s="406">
        <f t="shared" ref="H453:H473" si="33">H$452*D453</f>
        <v>0</v>
      </c>
      <c r="I453" s="406">
        <f t="shared" ref="I453:I473" si="34">I$452*E453</f>
        <v>0</v>
      </c>
      <c r="J453" s="406">
        <f t="shared" ref="J453:J473" si="35">J$452*F453</f>
        <v>12007094.937481215</v>
      </c>
      <c r="K453" s="406">
        <f t="shared" ref="K453:K473" si="36">K$452*D453</f>
        <v>0</v>
      </c>
      <c r="L453" s="406">
        <f t="shared" ref="L453:L473" si="37">L$452*E453</f>
        <v>0</v>
      </c>
      <c r="M453" s="406">
        <f t="shared" ref="M453:M473" si="38">M$452*F453</f>
        <v>11581896.732518801</v>
      </c>
      <c r="N453" s="792"/>
      <c r="O453" s="402" t="s">
        <v>1477</v>
      </c>
      <c r="P453" s="403">
        <f>SUMIF('Antelope Bailey Split BA'!$B$7:$B$29,B459,'Antelope Bailey Split BA'!$C$7:$C$29)</f>
        <v>0</v>
      </c>
      <c r="S453" s="403">
        <f>SUMIF('Antelope Bailey Split BA'!$B$8:$B$29,#REF!,'Antelope Bailey Split BA'!$C$8:$C$29)</f>
        <v>0</v>
      </c>
      <c r="T453" s="403" t="str">
        <f>IF(AND(S453&lt;&gt;0,'Plant Total by Account'!$H$1=2),"EKWRA TL Change","")</f>
        <v/>
      </c>
      <c r="V453" s="77">
        <v>1250</v>
      </c>
      <c r="W453" s="404">
        <f t="shared" ref="W453:W473" si="39">E:E-I:I-L:L</f>
        <v>0</v>
      </c>
    </row>
    <row r="454" spans="1:23" x14ac:dyDescent="0.2">
      <c r="A454" s="386" t="s">
        <v>2615</v>
      </c>
      <c r="B454" s="398" t="s">
        <v>1052</v>
      </c>
      <c r="C454" s="398" t="s">
        <v>3330</v>
      </c>
      <c r="D454" s="412">
        <v>0</v>
      </c>
      <c r="E454" s="114">
        <v>2465520.09</v>
      </c>
      <c r="F454" s="413">
        <v>7901074.3400000008</v>
      </c>
      <c r="G454" s="524">
        <f t="shared" si="32"/>
        <v>10366594.43</v>
      </c>
      <c r="H454" s="406">
        <f t="shared" si="33"/>
        <v>0</v>
      </c>
      <c r="I454" s="406">
        <f t="shared" si="34"/>
        <v>1251749.0366367837</v>
      </c>
      <c r="J454" s="406">
        <f t="shared" si="35"/>
        <v>4021746.7128588264</v>
      </c>
      <c r="K454" s="406">
        <f t="shared" si="36"/>
        <v>0</v>
      </c>
      <c r="L454" s="406">
        <f t="shared" si="37"/>
        <v>1213771.0533632173</v>
      </c>
      <c r="M454" s="406">
        <f t="shared" si="38"/>
        <v>3879327.6271411795</v>
      </c>
      <c r="N454" s="793"/>
      <c r="O454" s="426" t="s">
        <v>1476</v>
      </c>
      <c r="P454" s="403">
        <f>SUMIF('Antelope Bailey Split BA'!$B$7:$B$29,B460,'Antelope Bailey Split BA'!$C$7:$C$29)</f>
        <v>0</v>
      </c>
      <c r="S454" s="403">
        <f>SUMIF('Antelope Bailey Split BA'!$B$8:$B$29,#REF!,'Antelope Bailey Split BA'!$C$8:$C$29)</f>
        <v>0</v>
      </c>
      <c r="T454" s="403" t="str">
        <f>IF(AND(S454&lt;&gt;0,'Plant Total by Account'!$H$1=2),"EKWRA TL Change","")</f>
        <v/>
      </c>
      <c r="V454" s="77">
        <v>1869</v>
      </c>
      <c r="W454" s="404">
        <f t="shared" si="39"/>
        <v>0</v>
      </c>
    </row>
    <row r="455" spans="1:23" ht="12.75" customHeight="1" x14ac:dyDescent="0.2">
      <c r="A455" s="386" t="s">
        <v>2616</v>
      </c>
      <c r="B455" s="398" t="s">
        <v>140</v>
      </c>
      <c r="C455" s="398" t="s">
        <v>3334</v>
      </c>
      <c r="D455" s="399">
        <v>-266.83999999999997</v>
      </c>
      <c r="E455" s="399">
        <v>0</v>
      </c>
      <c r="F455" s="399">
        <v>0</v>
      </c>
      <c r="G455" s="524">
        <f>SUM(D455:F455)</f>
        <v>-266.83999999999997</v>
      </c>
      <c r="H455" s="406">
        <f t="shared" si="33"/>
        <v>-175.05529516369597</v>
      </c>
      <c r="I455" s="406">
        <f t="shared" si="34"/>
        <v>0</v>
      </c>
      <c r="J455" s="406">
        <f t="shared" si="35"/>
        <v>0</v>
      </c>
      <c r="K455" s="406">
        <f t="shared" si="36"/>
        <v>-91.784704836303945</v>
      </c>
      <c r="L455" s="406">
        <f t="shared" si="37"/>
        <v>0</v>
      </c>
      <c r="M455" s="406">
        <f t="shared" si="38"/>
        <v>0</v>
      </c>
      <c r="N455" s="793"/>
      <c r="O455" s="398" t="s">
        <v>1477</v>
      </c>
      <c r="P455" s="403">
        <f>SUMIF('Antelope Bailey Split BA'!$B$7:$B$29,B455,'Antelope Bailey Split BA'!$C$7:$C$29)</f>
        <v>0</v>
      </c>
      <c r="Q455" s="403" t="str">
        <f>IF(AND(P455=1,'Plant Total by Account'!$H$1=2),"EKWRA","")</f>
        <v/>
      </c>
      <c r="S455" s="403">
        <f>SUMIF('Antelope Bailey Split BA'!$B$8:$B$29,#REF!,'Antelope Bailey Split BA'!$C$8:$C$29)</f>
        <v>0</v>
      </c>
      <c r="T455" s="403" t="str">
        <f>IF(AND(S455&lt;&gt;0,'Plant Total by Account'!$H$1=2),"EKWRA TL Change","")</f>
        <v/>
      </c>
      <c r="V455" s="77">
        <v>2120</v>
      </c>
      <c r="W455" s="404">
        <f t="shared" si="39"/>
        <v>0</v>
      </c>
    </row>
    <row r="456" spans="1:23" ht="12.75" customHeight="1" x14ac:dyDescent="0.2">
      <c r="A456" s="386" t="s">
        <v>2617</v>
      </c>
      <c r="B456" s="398" t="s">
        <v>1103</v>
      </c>
      <c r="C456" s="398" t="s">
        <v>2326</v>
      </c>
      <c r="D456" s="427">
        <v>0</v>
      </c>
      <c r="E456" s="114">
        <v>131348.09</v>
      </c>
      <c r="F456" s="413">
        <v>14695.550000000001</v>
      </c>
      <c r="G456" s="524">
        <f t="shared" si="32"/>
        <v>146043.63999999998</v>
      </c>
      <c r="H456" s="406">
        <f t="shared" si="33"/>
        <v>0</v>
      </c>
      <c r="I456" s="406">
        <f t="shared" si="34"/>
        <v>66685.664330393513</v>
      </c>
      <c r="J456" s="406">
        <f t="shared" si="35"/>
        <v>7480.2207095994145</v>
      </c>
      <c r="K456" s="406">
        <f t="shared" si="36"/>
        <v>0</v>
      </c>
      <c r="L456" s="406">
        <f t="shared" si="37"/>
        <v>64662.425669606557</v>
      </c>
      <c r="M456" s="406">
        <f t="shared" si="38"/>
        <v>7215.3292904005957</v>
      </c>
      <c r="N456" s="793"/>
      <c r="O456" s="402" t="s">
        <v>1477</v>
      </c>
      <c r="P456" s="403">
        <f>SUMIF('Antelope Bailey Split BA'!$B$7:$B$29,B454,'Antelope Bailey Split BA'!$C$7:$C$29)</f>
        <v>0</v>
      </c>
      <c r="S456" s="403">
        <f>SUMIF('Antelope Bailey Split BA'!$B$8:$B$29,#REF!,'Antelope Bailey Split BA'!$C$8:$C$29)</f>
        <v>0</v>
      </c>
      <c r="T456" s="403" t="str">
        <f>IF(AND(S456&lt;&gt;0,'Plant Total by Account'!$H$1=2),"EKWRA TL Change","")</f>
        <v/>
      </c>
      <c r="V456" s="77">
        <v>4300</v>
      </c>
      <c r="W456" s="404">
        <f t="shared" si="39"/>
        <v>-7.2759576141834259E-11</v>
      </c>
    </row>
    <row r="457" spans="1:23" ht="12.75" customHeight="1" x14ac:dyDescent="0.2">
      <c r="A457" s="386" t="s">
        <v>2618</v>
      </c>
      <c r="B457" s="398" t="s">
        <v>1105</v>
      </c>
      <c r="C457" s="398" t="s">
        <v>2326</v>
      </c>
      <c r="D457" s="427">
        <v>3127.1</v>
      </c>
      <c r="E457" s="114">
        <v>0</v>
      </c>
      <c r="F457" s="413">
        <v>12363.33</v>
      </c>
      <c r="G457" s="524">
        <f t="shared" si="32"/>
        <v>15490.43</v>
      </c>
      <c r="H457" s="406">
        <f t="shared" si="33"/>
        <v>2051.4743423264645</v>
      </c>
      <c r="I457" s="406">
        <f t="shared" si="34"/>
        <v>0</v>
      </c>
      <c r="J457" s="406">
        <f t="shared" si="35"/>
        <v>6293.0912490932096</v>
      </c>
      <c r="K457" s="406">
        <f t="shared" si="36"/>
        <v>1075.625657673535</v>
      </c>
      <c r="L457" s="406">
        <f t="shared" si="37"/>
        <v>0</v>
      </c>
      <c r="M457" s="406">
        <f t="shared" si="38"/>
        <v>6070.2387509067976</v>
      </c>
      <c r="N457" s="793"/>
      <c r="O457" s="402" t="s">
        <v>1477</v>
      </c>
      <c r="P457" s="403">
        <f>SUMIF('Antelope Bailey Split BA'!$B$7:$B$29,#REF!,'Antelope Bailey Split BA'!$C$7:$C$29)</f>
        <v>0</v>
      </c>
      <c r="S457" s="403">
        <f>SUMIF('Antelope Bailey Split BA'!$B$8:$B$29,#REF!,'Antelope Bailey Split BA'!$C$8:$C$29)</f>
        <v>0</v>
      </c>
      <c r="T457" s="403" t="str">
        <f>IF(AND(S457&lt;&gt;0,'Plant Total by Account'!$H$1=2),"EKWRA TL Change","")</f>
        <v/>
      </c>
      <c r="V457" s="77">
        <v>4400</v>
      </c>
      <c r="W457" s="404">
        <f t="shared" si="39"/>
        <v>0</v>
      </c>
    </row>
    <row r="458" spans="1:23" ht="12.75" customHeight="1" x14ac:dyDescent="0.2">
      <c r="A458" s="386" t="s">
        <v>2619</v>
      </c>
      <c r="B458" s="398" t="s">
        <v>127</v>
      </c>
      <c r="C458" s="398" t="s">
        <v>2326</v>
      </c>
      <c r="D458" s="412">
        <v>0</v>
      </c>
      <c r="E458" s="114">
        <v>41481.279999999999</v>
      </c>
      <c r="F458" s="413">
        <v>21656.5</v>
      </c>
      <c r="G458" s="524">
        <f t="shared" si="32"/>
        <v>63137.78</v>
      </c>
      <c r="H458" s="406">
        <f t="shared" si="33"/>
        <v>0</v>
      </c>
      <c r="I458" s="406">
        <f t="shared" si="34"/>
        <v>21060.121346835462</v>
      </c>
      <c r="J458" s="406">
        <f t="shared" si="35"/>
        <v>11023.432249724556</v>
      </c>
      <c r="K458" s="406">
        <f t="shared" si="36"/>
        <v>0</v>
      </c>
      <c r="L458" s="406">
        <f t="shared" si="37"/>
        <v>20421.158653164559</v>
      </c>
      <c r="M458" s="406">
        <f t="shared" si="38"/>
        <v>10633.067750275457</v>
      </c>
      <c r="N458" s="793"/>
      <c r="O458" s="402" t="s">
        <v>1477</v>
      </c>
      <c r="P458" s="403">
        <f>SUMIF('Antelope Bailey Split BA'!$B$7:$B$29,B68,'Antelope Bailey Split BA'!$C$7:$C$29)</f>
        <v>0</v>
      </c>
      <c r="S458" s="403">
        <f>SUMIF('Antelope Bailey Split BA'!$B$8:$B$29,#REF!,'Antelope Bailey Split BA'!$C$8:$C$29)</f>
        <v>0</v>
      </c>
      <c r="T458" s="403" t="str">
        <f>IF(AND(S458&lt;&gt;0,'Plant Total by Account'!$H$1=2),"EKWRA TL Change","")</f>
        <v/>
      </c>
      <c r="V458" s="77">
        <v>4500</v>
      </c>
      <c r="W458" s="404">
        <f t="shared" si="39"/>
        <v>0</v>
      </c>
    </row>
    <row r="459" spans="1:23" ht="12.75" customHeight="1" x14ac:dyDescent="0.2">
      <c r="A459" s="386" t="s">
        <v>2620</v>
      </c>
      <c r="B459" s="398" t="s">
        <v>1106</v>
      </c>
      <c r="C459" s="398" t="s">
        <v>2326</v>
      </c>
      <c r="D459" s="412">
        <v>0</v>
      </c>
      <c r="E459" s="114">
        <v>106617.96</v>
      </c>
      <c r="F459" s="413">
        <v>21514.78</v>
      </c>
      <c r="G459" s="524">
        <f t="shared" si="32"/>
        <v>128132.74</v>
      </c>
      <c r="H459" s="406">
        <f t="shared" si="33"/>
        <v>0</v>
      </c>
      <c r="I459" s="406">
        <f t="shared" si="34"/>
        <v>54130.132323593913</v>
      </c>
      <c r="J459" s="406">
        <f t="shared" si="35"/>
        <v>10951.294978308077</v>
      </c>
      <c r="K459" s="406">
        <f t="shared" si="36"/>
        <v>0</v>
      </c>
      <c r="L459" s="406">
        <f t="shared" si="37"/>
        <v>52487.827676406145</v>
      </c>
      <c r="M459" s="406">
        <f t="shared" si="38"/>
        <v>10563.485021691935</v>
      </c>
      <c r="N459" s="793"/>
      <c r="O459" s="402" t="s">
        <v>1477</v>
      </c>
      <c r="P459" s="403">
        <f>SUMIF('Antelope Bailey Split BA'!$B$7:$B$29,B456,'Antelope Bailey Split BA'!$C$7:$C$29)</f>
        <v>0</v>
      </c>
      <c r="S459" s="403">
        <f>SUMIF('Antelope Bailey Split BA'!$B$8:$B$29,#REF!,'Antelope Bailey Split BA'!$C$8:$C$29)</f>
        <v>0</v>
      </c>
      <c r="T459" s="403" t="str">
        <f>IF(AND(S459&lt;&gt;0,'Plant Total by Account'!$H$1=2),"EKWRA TL Change","")</f>
        <v/>
      </c>
      <c r="V459" s="77">
        <v>4600</v>
      </c>
      <c r="W459" s="404">
        <f t="shared" si="39"/>
        <v>0</v>
      </c>
    </row>
    <row r="460" spans="1:23" ht="12.75" customHeight="1" x14ac:dyDescent="0.2">
      <c r="A460" s="386" t="s">
        <v>835</v>
      </c>
      <c r="B460" s="398" t="s">
        <v>1110</v>
      </c>
      <c r="C460" s="398" t="s">
        <v>2326</v>
      </c>
      <c r="D460" s="412">
        <v>2930.68</v>
      </c>
      <c r="E460" s="114">
        <v>32032.13</v>
      </c>
      <c r="F460" s="413">
        <v>3629.7200000000003</v>
      </c>
      <c r="G460" s="524">
        <f t="shared" si="32"/>
        <v>38592.53</v>
      </c>
      <c r="H460" s="406">
        <f t="shared" si="33"/>
        <v>1922.6167457290533</v>
      </c>
      <c r="I460" s="406">
        <f t="shared" si="34"/>
        <v>16262.770695542873</v>
      </c>
      <c r="J460" s="406">
        <f t="shared" si="35"/>
        <v>1847.573361599068</v>
      </c>
      <c r="K460" s="406">
        <f t="shared" si="36"/>
        <v>1008.0632542709461</v>
      </c>
      <c r="L460" s="406">
        <f t="shared" si="37"/>
        <v>15769.359304457144</v>
      </c>
      <c r="M460" s="406">
        <f t="shared" si="38"/>
        <v>1782.1466384009343</v>
      </c>
      <c r="N460" s="793"/>
      <c r="O460" s="402" t="s">
        <v>1477</v>
      </c>
      <c r="P460" s="403">
        <f>SUMIF('Antelope Bailey Split BA'!$B$7:$B$29,B457,'Antelope Bailey Split BA'!$C$7:$C$29)</f>
        <v>0</v>
      </c>
      <c r="S460" s="403">
        <f>SUMIF('Antelope Bailey Split BA'!$B$8:$B$29,#REF!,'Antelope Bailey Split BA'!$C$8:$C$29)</f>
        <v>0</v>
      </c>
      <c r="T460" s="403" t="str">
        <f>IF(AND(S460&lt;&gt;0,'Plant Total by Account'!$H$1=2),"EKWRA TL Change","")</f>
        <v/>
      </c>
      <c r="V460" s="77">
        <v>4800</v>
      </c>
      <c r="W460" s="404">
        <f t="shared" si="39"/>
        <v>-1.6370904631912708E-11</v>
      </c>
    </row>
    <row r="461" spans="1:23" ht="12.75" customHeight="1" x14ac:dyDescent="0.2">
      <c r="A461" s="386" t="s">
        <v>2621</v>
      </c>
      <c r="B461" s="398" t="s">
        <v>2245</v>
      </c>
      <c r="C461" s="398" t="s">
        <v>3334</v>
      </c>
      <c r="D461" s="399">
        <v>0</v>
      </c>
      <c r="E461" s="399">
        <v>118500.11</v>
      </c>
      <c r="F461" s="399">
        <v>0</v>
      </c>
      <c r="G461" s="524">
        <f>SUM(D461:F461)</f>
        <v>118500.11</v>
      </c>
      <c r="H461" s="406">
        <f t="shared" si="33"/>
        <v>0</v>
      </c>
      <c r="I461" s="406">
        <f t="shared" si="34"/>
        <v>60162.721502647713</v>
      </c>
      <c r="J461" s="406">
        <f t="shared" si="35"/>
        <v>0</v>
      </c>
      <c r="K461" s="406">
        <f t="shared" si="36"/>
        <v>0</v>
      </c>
      <c r="L461" s="406">
        <f t="shared" si="37"/>
        <v>58337.388497352345</v>
      </c>
      <c r="M461" s="406">
        <f t="shared" si="38"/>
        <v>0</v>
      </c>
      <c r="N461" s="793"/>
      <c r="O461" s="398" t="s">
        <v>1477</v>
      </c>
      <c r="P461" s="403">
        <f>SUMIF('Antelope Bailey Split BA'!$B$7:$B$29,B461,'Antelope Bailey Split BA'!$C$7:$C$29)</f>
        <v>0</v>
      </c>
      <c r="Q461" s="403" t="str">
        <f>IF(AND(P461=1,'Plant Total by Account'!$H$1=2),"EKWRA","")</f>
        <v/>
      </c>
      <c r="S461" s="403">
        <f>SUMIF('Antelope Bailey Split BA'!$B$8:$B$29,#REF!,'Antelope Bailey Split BA'!$C$8:$C$29)</f>
        <v>0</v>
      </c>
      <c r="T461" s="403" t="str">
        <f>IF(AND(S461&lt;&gt;0,'Plant Total by Account'!$H$1=2),"EKWRA TL Change","")</f>
        <v/>
      </c>
      <c r="V461" s="77">
        <v>4805</v>
      </c>
      <c r="W461" s="404">
        <f t="shared" si="39"/>
        <v>-5.8207660913467407E-11</v>
      </c>
    </row>
    <row r="462" spans="1:23" ht="12.75" customHeight="1" x14ac:dyDescent="0.2">
      <c r="A462" s="386" t="s">
        <v>2622</v>
      </c>
      <c r="B462" s="398" t="s">
        <v>1111</v>
      </c>
      <c r="C462" s="398" t="s">
        <v>2252</v>
      </c>
      <c r="D462" s="387">
        <v>0</v>
      </c>
      <c r="E462" s="387">
        <v>0</v>
      </c>
      <c r="F462" s="413">
        <v>3270204.8</v>
      </c>
      <c r="G462" s="524">
        <f t="shared" si="32"/>
        <v>3270204.8</v>
      </c>
      <c r="H462" s="406">
        <f t="shared" si="33"/>
        <v>0</v>
      </c>
      <c r="I462" s="406">
        <f t="shared" si="34"/>
        <v>0</v>
      </c>
      <c r="J462" s="406">
        <f t="shared" si="35"/>
        <v>1664575.5803349591</v>
      </c>
      <c r="K462" s="406">
        <f t="shared" si="36"/>
        <v>0</v>
      </c>
      <c r="L462" s="406">
        <f t="shared" si="37"/>
        <v>0</v>
      </c>
      <c r="M462" s="406">
        <f t="shared" si="38"/>
        <v>1605629.2196650428</v>
      </c>
      <c r="N462" s="793"/>
      <c r="O462" s="402" t="s">
        <v>1477</v>
      </c>
      <c r="P462" s="403">
        <f>SUMIF('Antelope Bailey Split BA'!$B$7:$B$29,B458,'Antelope Bailey Split BA'!$C$7:$C$29)</f>
        <v>0</v>
      </c>
      <c r="S462" s="403">
        <f>SUMIF('Antelope Bailey Split BA'!$B$8:$B$29,#REF!,'Antelope Bailey Split BA'!$C$8:$C$29)</f>
        <v>0</v>
      </c>
      <c r="T462" s="403" t="str">
        <f>IF(AND(S462&lt;&gt;0,'Plant Total by Account'!$H$1=2),"EKWRA TL Change","")</f>
        <v/>
      </c>
      <c r="V462" s="77">
        <v>5000</v>
      </c>
      <c r="W462" s="404">
        <f t="shared" si="39"/>
        <v>0</v>
      </c>
    </row>
    <row r="463" spans="1:23" ht="12.75" customHeight="1" x14ac:dyDescent="0.2">
      <c r="A463" s="386" t="s">
        <v>2623</v>
      </c>
      <c r="B463" s="398" t="s">
        <v>1130</v>
      </c>
      <c r="C463" s="398" t="s">
        <v>2252</v>
      </c>
      <c r="D463" s="387">
        <v>123341.95</v>
      </c>
      <c r="E463" s="387">
        <v>3713423.8500000006</v>
      </c>
      <c r="F463" s="413">
        <v>0</v>
      </c>
      <c r="G463" s="524">
        <f t="shared" si="32"/>
        <v>3836765.8000000007</v>
      </c>
      <c r="H463" s="406">
        <f t="shared" si="33"/>
        <v>80916.134999684582</v>
      </c>
      <c r="I463" s="406">
        <f t="shared" si="34"/>
        <v>1885312.0466203778</v>
      </c>
      <c r="J463" s="406">
        <f t="shared" si="35"/>
        <v>0</v>
      </c>
      <c r="K463" s="406">
        <f t="shared" si="36"/>
        <v>42425.815000315401</v>
      </c>
      <c r="L463" s="406">
        <f t="shared" si="37"/>
        <v>1828111.8033796246</v>
      </c>
      <c r="M463" s="406">
        <f t="shared" si="38"/>
        <v>0</v>
      </c>
      <c r="N463" s="793"/>
      <c r="O463" s="402" t="s">
        <v>1477</v>
      </c>
      <c r="P463" s="403">
        <f>SUMIF('Antelope Bailey Split BA'!$B$7:$B$29,B459,'Antelope Bailey Split BA'!$C$7:$C$29)</f>
        <v>0</v>
      </c>
      <c r="S463" s="403">
        <f>SUMIF('Antelope Bailey Split BA'!$B$8:$B$29,#REF!,'Antelope Bailey Split BA'!$C$8:$C$29)</f>
        <v>0</v>
      </c>
      <c r="T463" s="403" t="str">
        <f>IF(AND(S463&lt;&gt;0,'Plant Total by Account'!$H$1=2),"EKWRA TL Change","")</f>
        <v/>
      </c>
      <c r="V463" s="77">
        <v>5038</v>
      </c>
      <c r="W463" s="404">
        <f t="shared" si="39"/>
        <v>-1.862645149230957E-9</v>
      </c>
    </row>
    <row r="464" spans="1:23" ht="12.75" customHeight="1" x14ac:dyDescent="0.2">
      <c r="A464" s="386" t="s">
        <v>2624</v>
      </c>
      <c r="B464" s="398" t="s">
        <v>178</v>
      </c>
      <c r="C464" s="398"/>
      <c r="D464" s="387">
        <v>0</v>
      </c>
      <c r="E464" s="387">
        <v>0</v>
      </c>
      <c r="F464" s="413">
        <v>621996.6100000001</v>
      </c>
      <c r="G464" s="524">
        <f t="shared" si="32"/>
        <v>621996.6100000001</v>
      </c>
      <c r="H464" s="406">
        <f t="shared" si="33"/>
        <v>0</v>
      </c>
      <c r="I464" s="406">
        <f t="shared" si="34"/>
        <v>0</v>
      </c>
      <c r="J464" s="406">
        <f t="shared" si="35"/>
        <v>316604.13685929618</v>
      </c>
      <c r="K464" s="406">
        <f t="shared" si="36"/>
        <v>0</v>
      </c>
      <c r="L464" s="406">
        <f t="shared" si="37"/>
        <v>0</v>
      </c>
      <c r="M464" s="406">
        <f t="shared" si="38"/>
        <v>305392.47314070427</v>
      </c>
      <c r="N464" s="793"/>
      <c r="O464" s="402" t="s">
        <v>1477</v>
      </c>
      <c r="P464" s="403">
        <f>SUMIF('Antelope Bailey Split BA'!$B$7:$B$29,B460,'Antelope Bailey Split BA'!$C$7:$C$29)</f>
        <v>0</v>
      </c>
      <c r="S464" s="403">
        <f>SUMIF('Antelope Bailey Split BA'!$B$8:$B$29,#REF!,'Antelope Bailey Split BA'!$C$8:$C$29)</f>
        <v>0</v>
      </c>
      <c r="T464" s="403" t="str">
        <f>IF(AND(S464&lt;&gt;0,'Plant Total by Account'!$H$1=2),"EKWRA TL Change","")</f>
        <v/>
      </c>
      <c r="V464" s="77">
        <v>5100</v>
      </c>
      <c r="W464" s="404">
        <f t="shared" si="39"/>
        <v>0</v>
      </c>
    </row>
    <row r="465" spans="1:23" ht="12.75" customHeight="1" x14ac:dyDescent="0.2">
      <c r="A465" s="386" t="s">
        <v>2438</v>
      </c>
      <c r="B465" s="398" t="s">
        <v>492</v>
      </c>
      <c r="C465" s="398" t="s">
        <v>3334</v>
      </c>
      <c r="D465" s="399">
        <v>0</v>
      </c>
      <c r="E465" s="399">
        <v>0</v>
      </c>
      <c r="F465" s="399">
        <v>22913.570000000003</v>
      </c>
      <c r="G465" s="524">
        <f>SUM(D465:F465)</f>
        <v>22913.570000000003</v>
      </c>
      <c r="H465" s="406">
        <f>H$452*D465</f>
        <v>0</v>
      </c>
      <c r="I465" s="406">
        <f>I$452*E465</f>
        <v>0</v>
      </c>
      <c r="J465" s="406">
        <f>J$452*F465</f>
        <v>11663.296769760633</v>
      </c>
      <c r="K465" s="406">
        <f>K$452*D465</f>
        <v>0</v>
      </c>
      <c r="L465" s="406">
        <f>L$452*E465</f>
        <v>0</v>
      </c>
      <c r="M465" s="406">
        <f>M$452*F465</f>
        <v>11250.273230239385</v>
      </c>
      <c r="N465" s="793"/>
      <c r="O465" s="402" t="s">
        <v>1477</v>
      </c>
      <c r="P465" s="403">
        <f>SUMIF('Antelope Bailey Split BA'!$B$7:$B$29,B461,'Antelope Bailey Split BA'!$C$7:$C$29)</f>
        <v>0</v>
      </c>
      <c r="S465" s="403">
        <f>SUMIF('Antelope Bailey Split BA'!$B$8:$B$29,#REF!,'Antelope Bailey Split BA'!$C$8:$C$29)</f>
        <v>0</v>
      </c>
      <c r="T465" s="403" t="str">
        <f>IF(AND(S465&lt;&gt;0,'Plant Total by Account'!$H$1=2),"EKWRA TL Change","")</f>
        <v/>
      </c>
      <c r="V465" s="77">
        <v>5101</v>
      </c>
      <c r="W465" s="404">
        <f t="shared" si="39"/>
        <v>0</v>
      </c>
    </row>
    <row r="466" spans="1:23" ht="12.75" customHeight="1" x14ac:dyDescent="0.2">
      <c r="A466" s="386" t="s">
        <v>2625</v>
      </c>
      <c r="B466" s="398" t="s">
        <v>795</v>
      </c>
      <c r="C466" s="398" t="s">
        <v>1508</v>
      </c>
      <c r="D466" s="387">
        <v>44054.54</v>
      </c>
      <c r="E466" s="387">
        <v>0</v>
      </c>
      <c r="F466" s="413">
        <v>0</v>
      </c>
      <c r="G466" s="524">
        <f t="shared" si="32"/>
        <v>44054.54</v>
      </c>
      <c r="H466" s="406">
        <f t="shared" si="33"/>
        <v>28901.141144509264</v>
      </c>
      <c r="I466" s="406">
        <f t="shared" si="34"/>
        <v>0</v>
      </c>
      <c r="J466" s="406">
        <f t="shared" si="35"/>
        <v>0</v>
      </c>
      <c r="K466" s="406">
        <f t="shared" si="36"/>
        <v>15153.39885549073</v>
      </c>
      <c r="L466" s="406">
        <f t="shared" si="37"/>
        <v>0</v>
      </c>
      <c r="M466" s="406">
        <f t="shared" si="38"/>
        <v>0</v>
      </c>
      <c r="N466" s="793"/>
      <c r="O466" s="402" t="s">
        <v>1477</v>
      </c>
      <c r="P466" s="403">
        <f>SUMIF('Antelope Bailey Split BA'!$B$7:$B$29,B463,'Antelope Bailey Split BA'!$C$7:$C$29)</f>
        <v>0</v>
      </c>
      <c r="S466" s="403">
        <f>SUMIF('Antelope Bailey Split BA'!$B$8:$B$29,#REF!,'Antelope Bailey Split BA'!$C$8:$C$29)</f>
        <v>0</v>
      </c>
      <c r="T466" s="403" t="str">
        <f>IF(AND(S466&lt;&gt;0,'Plant Total by Account'!$H$1=2),"EKWRA TL Change","")</f>
        <v/>
      </c>
      <c r="V466" s="77">
        <v>6061</v>
      </c>
      <c r="W466" s="404">
        <f t="shared" si="39"/>
        <v>0</v>
      </c>
    </row>
    <row r="467" spans="1:23" ht="12.75" customHeight="1" x14ac:dyDescent="0.2">
      <c r="A467" s="386" t="s">
        <v>2025</v>
      </c>
      <c r="B467" s="398" t="s">
        <v>796</v>
      </c>
      <c r="C467" s="398" t="s">
        <v>1508</v>
      </c>
      <c r="D467" s="399">
        <v>0</v>
      </c>
      <c r="E467" s="399">
        <v>7617.03</v>
      </c>
      <c r="F467" s="399">
        <v>0</v>
      </c>
      <c r="G467" s="524">
        <f>SUM(D467:F467)</f>
        <v>7617.03</v>
      </c>
      <c r="H467" s="406">
        <f t="shared" si="33"/>
        <v>0</v>
      </c>
      <c r="I467" s="406">
        <f t="shared" si="34"/>
        <v>3867.1799930591851</v>
      </c>
      <c r="J467" s="406">
        <f t="shared" si="35"/>
        <v>0</v>
      </c>
      <c r="K467" s="406">
        <f t="shared" si="36"/>
        <v>0</v>
      </c>
      <c r="L467" s="406">
        <f t="shared" si="37"/>
        <v>3749.8500069408183</v>
      </c>
      <c r="M467" s="406">
        <f t="shared" si="38"/>
        <v>0</v>
      </c>
      <c r="N467" s="793"/>
      <c r="O467" s="398" t="s">
        <v>1477</v>
      </c>
      <c r="P467" s="403">
        <f>SUMIF('Antelope Bailey Split BA'!$B$7:$B$29,B467,'Antelope Bailey Split BA'!$C$7:$C$29)</f>
        <v>0</v>
      </c>
      <c r="Q467" s="403" t="str">
        <f>IF(AND(P467=1,'Plant Total by Account'!$H$1=2),"EKWRA","")</f>
        <v/>
      </c>
      <c r="S467" s="403">
        <f>SUMIF('Antelope Bailey Split BA'!$B$8:$B$29,#REF!,'Antelope Bailey Split BA'!$C$8:$C$29)</f>
        <v>0</v>
      </c>
      <c r="T467" s="403" t="str">
        <f>IF(AND(S467&lt;&gt;0,'Plant Total by Account'!$H$1=2),"EKWRA TL Change","")</f>
        <v/>
      </c>
      <c r="V467" s="77">
        <v>6072</v>
      </c>
      <c r="W467" s="404">
        <f t="shared" si="39"/>
        <v>-3.637978807091713E-12</v>
      </c>
    </row>
    <row r="468" spans="1:23" ht="12.75" customHeight="1" x14ac:dyDescent="0.2">
      <c r="A468" s="386" t="s">
        <v>2026</v>
      </c>
      <c r="B468" s="398" t="s">
        <v>2246</v>
      </c>
      <c r="C468" s="398"/>
      <c r="D468" s="399">
        <v>0</v>
      </c>
      <c r="E468" s="399">
        <v>0</v>
      </c>
      <c r="F468" s="399">
        <v>74797.930000000008</v>
      </c>
      <c r="G468" s="524">
        <f>SUM(D468:F468)</f>
        <v>74797.930000000008</v>
      </c>
      <c r="H468" s="406">
        <f t="shared" si="33"/>
        <v>0</v>
      </c>
      <c r="I468" s="406">
        <f t="shared" si="34"/>
        <v>0</v>
      </c>
      <c r="J468" s="406">
        <f t="shared" si="35"/>
        <v>38073.091855777246</v>
      </c>
      <c r="K468" s="406">
        <f t="shared" si="36"/>
        <v>0</v>
      </c>
      <c r="L468" s="406">
        <f t="shared" si="37"/>
        <v>0</v>
      </c>
      <c r="M468" s="406">
        <f t="shared" si="38"/>
        <v>36724.838144222806</v>
      </c>
      <c r="N468" s="793"/>
      <c r="O468" s="398" t="s">
        <v>1477</v>
      </c>
      <c r="P468" s="403">
        <f>SUMIF('Antelope Bailey Split BA'!$B$7:$B$29,B468,'Antelope Bailey Split BA'!$C$7:$C$29)</f>
        <v>0</v>
      </c>
      <c r="Q468" s="403" t="str">
        <f>IF(AND(P468=1,'Plant Total by Account'!$H$1=2),"EKWRA","")</f>
        <v/>
      </c>
      <c r="S468" s="403">
        <f>SUMIF('Antelope Bailey Split BA'!$B$8:$B$29,#REF!,'Antelope Bailey Split BA'!$C$8:$C$29)</f>
        <v>0</v>
      </c>
      <c r="T468" s="403" t="str">
        <f>IF(AND(S468&lt;&gt;0,'Plant Total by Account'!$H$1=2),"EKWRA TL Change","")</f>
        <v/>
      </c>
      <c r="V468" s="77">
        <v>7056</v>
      </c>
      <c r="W468" s="404">
        <f t="shared" si="39"/>
        <v>0</v>
      </c>
    </row>
    <row r="469" spans="1:23" ht="12.75" customHeight="1" x14ac:dyDescent="0.2">
      <c r="A469" s="386" t="s">
        <v>2626</v>
      </c>
      <c r="B469" s="398" t="s">
        <v>1260</v>
      </c>
      <c r="C469" s="398" t="s">
        <v>2252</v>
      </c>
      <c r="D469" s="387">
        <v>0</v>
      </c>
      <c r="E469" s="387">
        <v>0</v>
      </c>
      <c r="F469" s="413">
        <v>23237.25</v>
      </c>
      <c r="G469" s="524">
        <f t="shared" si="32"/>
        <v>23237.25</v>
      </c>
      <c r="H469" s="406">
        <f t="shared" si="33"/>
        <v>0</v>
      </c>
      <c r="I469" s="406">
        <f t="shared" si="34"/>
        <v>0</v>
      </c>
      <c r="J469" s="406">
        <f t="shared" si="35"/>
        <v>11828.053981248675</v>
      </c>
      <c r="K469" s="406">
        <f t="shared" si="36"/>
        <v>0</v>
      </c>
      <c r="L469" s="406">
        <f t="shared" si="37"/>
        <v>0</v>
      </c>
      <c r="M469" s="406">
        <f t="shared" si="38"/>
        <v>11409.19601875134</v>
      </c>
      <c r="N469" s="793"/>
      <c r="O469" s="402" t="s">
        <v>1477</v>
      </c>
      <c r="P469" s="403">
        <f>SUMIF('Antelope Bailey Split BA'!$B$7:$B$29,B464,'Antelope Bailey Split BA'!$C$7:$C$29)</f>
        <v>0</v>
      </c>
      <c r="S469" s="403">
        <f>SUMIF('Antelope Bailey Split BA'!$B$8:$B$29,#REF!,'Antelope Bailey Split BA'!$C$8:$C$29)</f>
        <v>0</v>
      </c>
      <c r="T469" s="403" t="str">
        <f>IF(AND(S469&lt;&gt;0,'Plant Total by Account'!$H$1=2),"EKWRA TL Change","")</f>
        <v/>
      </c>
      <c r="V469" s="77">
        <v>9010</v>
      </c>
      <c r="W469" s="404">
        <f t="shared" si="39"/>
        <v>0</v>
      </c>
    </row>
    <row r="470" spans="1:23" ht="12.75" customHeight="1" x14ac:dyDescent="0.2">
      <c r="A470" s="386" t="s">
        <v>2172</v>
      </c>
      <c r="B470" s="398" t="s">
        <v>2247</v>
      </c>
      <c r="C470" s="398"/>
      <c r="D470" s="387">
        <v>0</v>
      </c>
      <c r="E470" s="387">
        <v>373557.62</v>
      </c>
      <c r="F470" s="413">
        <v>0</v>
      </c>
      <c r="G470" s="524">
        <f t="shared" si="32"/>
        <v>373557.62</v>
      </c>
      <c r="H470" s="406">
        <f t="shared" si="33"/>
        <v>0</v>
      </c>
      <c r="I470" s="406">
        <f t="shared" si="34"/>
        <v>189655.88350299341</v>
      </c>
      <c r="J470" s="406">
        <f t="shared" si="35"/>
        <v>0</v>
      </c>
      <c r="K470" s="406">
        <f t="shared" si="36"/>
        <v>0</v>
      </c>
      <c r="L470" s="406">
        <f t="shared" si="37"/>
        <v>183901.73649700679</v>
      </c>
      <c r="M470" s="406">
        <f t="shared" si="38"/>
        <v>0</v>
      </c>
      <c r="N470" s="793"/>
      <c r="O470" s="402" t="s">
        <v>1477</v>
      </c>
      <c r="P470" s="403">
        <f>SUMIF('Antelope Bailey Split BA'!$B$7:$B$29,B265,'Antelope Bailey Split BA'!$C$7:$C$29)</f>
        <v>0</v>
      </c>
      <c r="S470" s="403">
        <f>SUMIF('Antelope Bailey Split BA'!$B$8:$B$29,#REF!,'Antelope Bailey Split BA'!$C$8:$C$29)</f>
        <v>0</v>
      </c>
      <c r="T470" s="403" t="str">
        <f>IF(AND(S470&lt;&gt;0,'Plant Total by Account'!$H$1=2),"EKWRA TL Change","")</f>
        <v/>
      </c>
      <c r="V470" s="77">
        <v>9024</v>
      </c>
      <c r="W470" s="404">
        <f t="shared" si="39"/>
        <v>0</v>
      </c>
    </row>
    <row r="471" spans="1:23" ht="12.75" customHeight="1" x14ac:dyDescent="0.2">
      <c r="A471" s="386" t="s">
        <v>2627</v>
      </c>
      <c r="B471" s="398" t="s">
        <v>968</v>
      </c>
      <c r="C471" s="398" t="s">
        <v>2611</v>
      </c>
      <c r="D471" s="399">
        <v>0</v>
      </c>
      <c r="E471" s="399">
        <v>0</v>
      </c>
      <c r="F471" s="399">
        <v>32925650.549999993</v>
      </c>
      <c r="G471" s="524">
        <f>SUM(D471:F471)</f>
        <v>32925650.549999993</v>
      </c>
      <c r="H471" s="406">
        <f t="shared" si="33"/>
        <v>0</v>
      </c>
      <c r="I471" s="406">
        <f t="shared" si="34"/>
        <v>0</v>
      </c>
      <c r="J471" s="406">
        <f t="shared" si="35"/>
        <v>16759572.327755224</v>
      </c>
      <c r="K471" s="406">
        <f t="shared" si="36"/>
        <v>0</v>
      </c>
      <c r="L471" s="406">
        <f t="shared" si="37"/>
        <v>0</v>
      </c>
      <c r="M471" s="406">
        <f t="shared" si="38"/>
        <v>16166078.22224479</v>
      </c>
      <c r="N471" s="793"/>
      <c r="O471" s="398" t="s">
        <v>1477</v>
      </c>
      <c r="P471" s="403">
        <f>SUMIF('Antelope Bailey Split BA'!$B$7:$B$29,B471,'Antelope Bailey Split BA'!$C$7:$C$29)</f>
        <v>0</v>
      </c>
      <c r="Q471" s="403" t="str">
        <f>IF(AND(P471=1,'Plant Total by Account'!$H$1=2),"EKWRA","")</f>
        <v/>
      </c>
      <c r="S471" s="403">
        <f>SUMIF('Antelope Bailey Split BA'!$B$8:$B$29,#REF!,'Antelope Bailey Split BA'!$C$8:$C$29)</f>
        <v>0</v>
      </c>
      <c r="T471" s="403" t="str">
        <f>IF(AND(S471&lt;&gt;0,'Plant Total by Account'!$H$1=2),"EKWRA TL Change","")</f>
        <v/>
      </c>
      <c r="V471" s="77">
        <v>9047</v>
      </c>
      <c r="W471" s="404">
        <f t="shared" si="39"/>
        <v>0</v>
      </c>
    </row>
    <row r="472" spans="1:23" ht="12.75" customHeight="1" x14ac:dyDescent="0.2">
      <c r="A472" s="386" t="s">
        <v>2628</v>
      </c>
      <c r="B472" s="403" t="s">
        <v>1261</v>
      </c>
      <c r="C472" s="398" t="s">
        <v>2252</v>
      </c>
      <c r="D472" s="399">
        <v>0</v>
      </c>
      <c r="E472" s="387">
        <v>0</v>
      </c>
      <c r="F472" s="413">
        <v>341890.03</v>
      </c>
      <c r="G472" s="524">
        <f t="shared" si="32"/>
        <v>341890.03</v>
      </c>
      <c r="H472" s="406">
        <f t="shared" si="33"/>
        <v>0</v>
      </c>
      <c r="I472" s="406">
        <f t="shared" si="34"/>
        <v>0</v>
      </c>
      <c r="J472" s="406">
        <f t="shared" si="35"/>
        <v>174026.34694254826</v>
      </c>
      <c r="K472" s="406">
        <f t="shared" si="36"/>
        <v>0</v>
      </c>
      <c r="L472" s="406">
        <f t="shared" si="37"/>
        <v>0</v>
      </c>
      <c r="M472" s="406">
        <f t="shared" si="38"/>
        <v>167863.68305745197</v>
      </c>
      <c r="N472" s="793"/>
      <c r="O472" s="402" t="s">
        <v>1477</v>
      </c>
      <c r="P472" s="403">
        <f>SUMIF('Antelope Bailey Split BA'!$B$7:$B$29,B466,'Antelope Bailey Split BA'!$C$7:$C$29)</f>
        <v>0</v>
      </c>
      <c r="S472" s="403">
        <f>SUMIF('Antelope Bailey Split BA'!$B$8:$B$29,#REF!,'Antelope Bailey Split BA'!$C$8:$C$29)</f>
        <v>0</v>
      </c>
      <c r="T472" s="403" t="str">
        <f>IF(AND(S472&lt;&gt;0,'Plant Total by Account'!$H$1=2),"EKWRA TL Change","")</f>
        <v/>
      </c>
      <c r="V472" s="77">
        <v>9203</v>
      </c>
      <c r="W472" s="404">
        <f t="shared" si="39"/>
        <v>0</v>
      </c>
    </row>
    <row r="473" spans="1:23" ht="12.75" customHeight="1" x14ac:dyDescent="0.2">
      <c r="A473" s="386" t="s">
        <v>2629</v>
      </c>
      <c r="B473" s="403" t="s">
        <v>1263</v>
      </c>
      <c r="C473" s="398" t="s">
        <v>2611</v>
      </c>
      <c r="D473" s="427">
        <v>0</v>
      </c>
      <c r="E473" s="387">
        <v>0</v>
      </c>
      <c r="F473" s="413">
        <v>2970010.76</v>
      </c>
      <c r="G473" s="524">
        <f t="shared" si="32"/>
        <v>2970010.76</v>
      </c>
      <c r="H473" s="406">
        <f t="shared" si="33"/>
        <v>0</v>
      </c>
      <c r="I473" s="406">
        <f t="shared" si="34"/>
        <v>0</v>
      </c>
      <c r="J473" s="406">
        <f t="shared" si="35"/>
        <v>1511773.01936199</v>
      </c>
      <c r="K473" s="406">
        <f t="shared" si="36"/>
        <v>0</v>
      </c>
      <c r="L473" s="406">
        <f t="shared" si="37"/>
        <v>0</v>
      </c>
      <c r="M473" s="406">
        <f t="shared" si="38"/>
        <v>1458237.7406380116</v>
      </c>
      <c r="N473" s="793"/>
      <c r="O473" s="402" t="s">
        <v>1477</v>
      </c>
      <c r="P473" s="403">
        <f>SUMIF('Antelope Bailey Split BA'!$B$7:$B$29,B469,'Antelope Bailey Split BA'!$C$7:$C$29)</f>
        <v>0</v>
      </c>
      <c r="S473" s="403">
        <f>SUMIF('Antelope Bailey Split BA'!$B$8:$B$29,#REF!,'Antelope Bailey Split BA'!$C$8:$C$29)</f>
        <v>0</v>
      </c>
      <c r="T473" s="403" t="str">
        <f>IF(AND(S473&lt;&gt;0,'Plant Total by Account'!$H$1=2),"EKWRA TL Change","")</f>
        <v/>
      </c>
      <c r="V473" s="77">
        <v>9243</v>
      </c>
      <c r="W473" s="404">
        <f t="shared" si="39"/>
        <v>0</v>
      </c>
    </row>
    <row r="474" spans="1:23" s="77" customFormat="1" ht="13.5" thickBot="1" x14ac:dyDescent="0.25">
      <c r="A474" s="445" t="s">
        <v>449</v>
      </c>
      <c r="B474" s="446"/>
      <c r="C474" s="446"/>
      <c r="D474" s="69">
        <f>SUM(D453:D473)</f>
        <v>173187.43</v>
      </c>
      <c r="E474" s="69">
        <f>SUM(E453:E473)</f>
        <v>6990098.1600000001</v>
      </c>
      <c r="F474" s="69">
        <f>SUM(F453:F473)</f>
        <v>71814627.390000001</v>
      </c>
      <c r="G474" s="437">
        <f t="shared" si="32"/>
        <v>78977912.980000004</v>
      </c>
      <c r="H474" s="69">
        <f t="shared" ref="H474:M474" si="40">SUM(H453:H473)</f>
        <v>113616.31193708567</v>
      </c>
      <c r="I474" s="69">
        <f t="shared" si="40"/>
        <v>3548885.5569522274</v>
      </c>
      <c r="J474" s="69">
        <f t="shared" si="40"/>
        <v>36554553.116749175</v>
      </c>
      <c r="K474" s="69">
        <f t="shared" si="40"/>
        <v>59571.118062914305</v>
      </c>
      <c r="L474" s="69">
        <f t="shared" si="40"/>
        <v>3441212.6030477765</v>
      </c>
      <c r="M474" s="69">
        <f t="shared" si="40"/>
        <v>35260074.27325087</v>
      </c>
      <c r="N474" s="402"/>
      <c r="O474" s="401"/>
      <c r="P474" s="403"/>
      <c r="Q474" s="403"/>
      <c r="R474" s="387"/>
      <c r="S474" s="387"/>
      <c r="T474" s="387"/>
      <c r="U474" s="387"/>
      <c r="V474" s="387"/>
      <c r="W474" s="387"/>
    </row>
    <row r="475" spans="1:23" s="77" customFormat="1" ht="14.25" thickTop="1" thickBot="1" x14ac:dyDescent="0.25">
      <c r="A475" s="387"/>
      <c r="B475" s="388"/>
      <c r="C475" s="388"/>
      <c r="D475" s="146"/>
      <c r="E475" s="146"/>
      <c r="F475" s="146"/>
      <c r="G475" s="438"/>
      <c r="H475" s="146"/>
      <c r="I475" s="146"/>
      <c r="J475" s="146"/>
      <c r="K475" s="146"/>
      <c r="L475" s="146"/>
      <c r="M475" s="146"/>
      <c r="N475" s="402"/>
      <c r="O475" s="401"/>
      <c r="P475" s="403"/>
      <c r="Q475" s="403"/>
      <c r="R475" s="387"/>
      <c r="S475" s="387"/>
      <c r="T475" s="387"/>
      <c r="U475" s="387"/>
      <c r="V475" s="387"/>
      <c r="W475" s="387"/>
    </row>
    <row r="476" spans="1:23" ht="12.75" customHeight="1" x14ac:dyDescent="0.2">
      <c r="A476" s="797" t="s">
        <v>3316</v>
      </c>
      <c r="B476" s="798"/>
      <c r="C476" s="464" t="s">
        <v>3312</v>
      </c>
      <c r="D476" s="465">
        <f>SUMIF($N$10:$N$448,"ISO",D$10:D$448)</f>
        <v>27356352.800000001</v>
      </c>
      <c r="E476" s="465">
        <f>SUMIF($N$10:$N$448,"ISO",E$10:E$448)</f>
        <v>63510035.49000001</v>
      </c>
      <c r="F476" s="465">
        <f>SUMIF($N$10:$N$448,"ISO",F$10:F$448)</f>
        <v>727104657.81874132</v>
      </c>
      <c r="G476" s="478">
        <f>SUM(D476:F476)</f>
        <v>817971046.10874128</v>
      </c>
      <c r="H476" s="465">
        <f>SUMIF($N$10:$N$448,"ISO",H$10:H$448)</f>
        <v>27356352.800000001</v>
      </c>
      <c r="I476" s="465">
        <f>SUMIF($N$10:$N$448,"ISO",I$10:I$448)</f>
        <v>63510035.49000001</v>
      </c>
      <c r="J476" s="465">
        <f>SUMIF($N$10:$N$448,"ISO",J$10:J$448)</f>
        <v>727104657.81874132</v>
      </c>
      <c r="K476" s="465"/>
      <c r="L476" s="465"/>
      <c r="M476" s="467"/>
      <c r="N476" s="398"/>
      <c r="O476" s="398"/>
      <c r="S476" s="403"/>
      <c r="T476" s="403"/>
      <c r="V476" s="77"/>
      <c r="W476" s="404"/>
    </row>
    <row r="477" spans="1:23" ht="12.75" customHeight="1" x14ac:dyDescent="0.2">
      <c r="A477" s="799"/>
      <c r="B477" s="800"/>
      <c r="C477" s="449" t="s">
        <v>3313</v>
      </c>
      <c r="D477" s="477">
        <f>SUMIF($N$10:$N$448,"Non-ISO",D$10:D$448)</f>
        <v>16354694.959999999</v>
      </c>
      <c r="E477" s="477">
        <f>SUMIF($N$10:$N$448,"Non-ISO",E$10:E$448)</f>
        <v>34873768.039999984</v>
      </c>
      <c r="F477" s="477">
        <f>SUMIF($N$10:$N$448,"Non-ISO",F$10:F$448)</f>
        <v>555636275.9400003</v>
      </c>
      <c r="G477" s="476">
        <f>SUM(D477:F477)</f>
        <v>606864738.9400003</v>
      </c>
      <c r="H477" s="477"/>
      <c r="I477" s="477"/>
      <c r="J477" s="477"/>
      <c r="K477" s="477">
        <f>SUMIF($N$10:$N$448,"Non-ISO",K$10:K$448)</f>
        <v>16354694.959999999</v>
      </c>
      <c r="L477" s="477">
        <f>SUMIF($N$10:$N$448,"Non-ISO",L$10:L$448)</f>
        <v>34873768.039999984</v>
      </c>
      <c r="M477" s="475">
        <f>SUMIF($N$10:$N$448,"Non-ISO",M$10:M$448)</f>
        <v>555636275.9400003</v>
      </c>
      <c r="N477" s="398"/>
      <c r="O477" s="398"/>
      <c r="S477" s="403"/>
      <c r="T477" s="403"/>
      <c r="V477" s="77"/>
      <c r="W477" s="404"/>
    </row>
    <row r="478" spans="1:23" ht="12.75" customHeight="1" x14ac:dyDescent="0.2">
      <c r="A478" s="799"/>
      <c r="B478" s="800"/>
      <c r="C478" s="449" t="s">
        <v>3314</v>
      </c>
      <c r="D478" s="477">
        <f>SUMIF($N$10:$N$448,"Mix",D$10:D$448)</f>
        <v>25896461.770000011</v>
      </c>
      <c r="E478" s="477">
        <f>SUMIF($N$10:$N$448,"Mix",E$10:E$448)</f>
        <v>220801045.75999999</v>
      </c>
      <c r="F478" s="477">
        <f>SUMIF($N$10:$N$448,"Mix",F$10:F$448)</f>
        <v>2064161659.7799997</v>
      </c>
      <c r="G478" s="476">
        <f>SUM(D478:F478)</f>
        <v>2310859167.3099999</v>
      </c>
      <c r="H478" s="477">
        <f t="shared" ref="H478:M478" si="41">SUMIF($N$10:$N$448,"Mix",H$10:H$448)</f>
        <v>6722959.1326721245</v>
      </c>
      <c r="I478" s="477">
        <f t="shared" si="41"/>
        <v>95931017.994314373</v>
      </c>
      <c r="J478" s="477">
        <f t="shared" si="41"/>
        <v>976666999.19119406</v>
      </c>
      <c r="K478" s="477">
        <f t="shared" si="41"/>
        <v>19173502.637327876</v>
      </c>
      <c r="L478" s="477">
        <f t="shared" si="41"/>
        <v>124870027.76568566</v>
      </c>
      <c r="M478" s="475">
        <f t="shared" si="41"/>
        <v>1087494660.5888062</v>
      </c>
      <c r="N478" s="398"/>
      <c r="O478" s="398"/>
      <c r="S478" s="403"/>
      <c r="T478" s="403"/>
      <c r="V478" s="77"/>
      <c r="W478" s="404"/>
    </row>
    <row r="479" spans="1:23" ht="12.75" customHeight="1" x14ac:dyDescent="0.2">
      <c r="A479" s="799"/>
      <c r="B479" s="800"/>
      <c r="C479" s="449" t="s">
        <v>3315</v>
      </c>
      <c r="D479" s="477">
        <f>SUMIF($N$10:$N$448,"Trans Line",D$10:D$448)</f>
        <v>168942792.67000002</v>
      </c>
      <c r="E479" s="477">
        <f>SUMIF($N$10:$N$448,"Trans Line",E$10:E$448)</f>
        <v>8331182.5800000019</v>
      </c>
      <c r="F479" s="477">
        <f>SUMIF($N$10:$N$448,"Trans Line",F$10:F$448)</f>
        <v>2335396.54</v>
      </c>
      <c r="G479" s="476">
        <f>SUM(D479:F479)</f>
        <v>179609371.79000002</v>
      </c>
      <c r="H479" s="477">
        <f t="shared" ref="H479:M479" si="42">SUMIF($N$10:$N$448,"Trans Line",H$10:H$448)</f>
        <v>122417066.28277493</v>
      </c>
      <c r="I479" s="477">
        <f t="shared" si="42"/>
        <v>6839431.9350416968</v>
      </c>
      <c r="J479" s="477">
        <f t="shared" si="42"/>
        <v>1032816.0968283215</v>
      </c>
      <c r="K479" s="477">
        <f t="shared" si="42"/>
        <v>46525726.387225091</v>
      </c>
      <c r="L479" s="477">
        <f t="shared" si="42"/>
        <v>1491750.6449583033</v>
      </c>
      <c r="M479" s="475">
        <f t="shared" si="42"/>
        <v>1302580.443171679</v>
      </c>
      <c r="N479" s="398"/>
      <c r="O479" s="398"/>
      <c r="S479" s="403"/>
      <c r="T479" s="403"/>
      <c r="V479" s="77"/>
      <c r="W479" s="404"/>
    </row>
    <row r="480" spans="1:23" ht="12.75" customHeight="1" thickBot="1" x14ac:dyDescent="0.25">
      <c r="A480" s="801"/>
      <c r="B480" s="802"/>
      <c r="C480" s="468" t="s">
        <v>3325</v>
      </c>
      <c r="D480" s="469">
        <f>D474</f>
        <v>173187.43</v>
      </c>
      <c r="E480" s="469">
        <f t="shared" ref="E480:M480" si="43">E474</f>
        <v>6990098.1600000001</v>
      </c>
      <c r="F480" s="469">
        <f t="shared" si="43"/>
        <v>71814627.390000001</v>
      </c>
      <c r="G480" s="474">
        <f t="shared" si="43"/>
        <v>78977912.980000004</v>
      </c>
      <c r="H480" s="469">
        <f t="shared" si="43"/>
        <v>113616.31193708567</v>
      </c>
      <c r="I480" s="469">
        <f t="shared" si="43"/>
        <v>3548885.5569522274</v>
      </c>
      <c r="J480" s="469">
        <f t="shared" si="43"/>
        <v>36554553.116749175</v>
      </c>
      <c r="K480" s="469">
        <f t="shared" si="43"/>
        <v>59571.118062914305</v>
      </c>
      <c r="L480" s="469">
        <f t="shared" si="43"/>
        <v>3441212.6030477765</v>
      </c>
      <c r="M480" s="471">
        <f t="shared" si="43"/>
        <v>35260074.27325087</v>
      </c>
      <c r="N480" s="398"/>
      <c r="O480" s="398"/>
      <c r="S480" s="403"/>
      <c r="T480" s="403"/>
      <c r="V480" s="77"/>
      <c r="W480" s="404"/>
    </row>
    <row r="481" spans="1:17" s="77" customFormat="1" x14ac:dyDescent="0.2">
      <c r="B481" s="388"/>
      <c r="C481" s="388"/>
      <c r="D481" s="114"/>
      <c r="E481" s="114"/>
      <c r="F481" s="114"/>
      <c r="G481" s="435"/>
      <c r="H481" s="76"/>
      <c r="I481" s="76"/>
      <c r="J481" s="76"/>
      <c r="K481" s="76"/>
      <c r="L481" s="428"/>
      <c r="M481" s="428"/>
      <c r="N481" s="429"/>
      <c r="O481" s="76"/>
      <c r="P481" s="388"/>
      <c r="Q481" s="388"/>
    </row>
    <row r="482" spans="1:17" s="77" customFormat="1" ht="13.5" thickBot="1" x14ac:dyDescent="0.25">
      <c r="A482" s="447" t="s">
        <v>450</v>
      </c>
      <c r="B482" s="446"/>
      <c r="C482" s="446"/>
      <c r="D482" s="69">
        <f t="shared" ref="D482:M482" si="44">D449+D474</f>
        <v>238723489.63000003</v>
      </c>
      <c r="E482" s="69">
        <f t="shared" si="44"/>
        <v>334506130.02999997</v>
      </c>
      <c r="F482" s="69">
        <f t="shared" si="44"/>
        <v>3421052617.4687386</v>
      </c>
      <c r="G482" s="439">
        <f t="shared" si="44"/>
        <v>3994282237.1287374</v>
      </c>
      <c r="H482" s="69">
        <f t="shared" si="44"/>
        <v>156609994.5273841</v>
      </c>
      <c r="I482" s="69">
        <f t="shared" si="44"/>
        <v>169829370.97630838</v>
      </c>
      <c r="J482" s="69">
        <f t="shared" si="44"/>
        <v>1741359026.2235126</v>
      </c>
      <c r="K482" s="69">
        <f t="shared" si="44"/>
        <v>82113495.102615878</v>
      </c>
      <c r="L482" s="69">
        <f t="shared" si="44"/>
        <v>164676759.05369174</v>
      </c>
      <c r="M482" s="69">
        <f t="shared" si="44"/>
        <v>1679693591.2452283</v>
      </c>
      <c r="N482" s="429"/>
      <c r="O482" s="76"/>
      <c r="P482" s="388"/>
      <c r="Q482" s="388"/>
    </row>
    <row r="483" spans="1:17" s="77" customFormat="1" ht="13.5" thickTop="1" x14ac:dyDescent="0.2">
      <c r="B483" s="388"/>
      <c r="C483" s="12"/>
      <c r="D483" s="146"/>
      <c r="E483" s="146"/>
      <c r="F483" s="146"/>
      <c r="G483" s="438"/>
      <c r="H483" s="146"/>
      <c r="I483" s="146"/>
      <c r="J483" s="146"/>
      <c r="K483" s="146"/>
      <c r="L483" s="146"/>
      <c r="M483" s="146"/>
      <c r="N483" s="429"/>
      <c r="O483" s="76"/>
      <c r="P483" s="388"/>
      <c r="Q483" s="388"/>
    </row>
    <row r="484" spans="1:17" s="77" customFormat="1" x14ac:dyDescent="0.2">
      <c r="A484" s="436"/>
      <c r="I484" s="388"/>
      <c r="K484" s="388"/>
      <c r="L484" s="388"/>
    </row>
    <row r="485" spans="1:17" s="77" customFormat="1" x14ac:dyDescent="0.2">
      <c r="A485" s="436"/>
      <c r="B485" s="12"/>
      <c r="C485" s="12"/>
      <c r="D485" s="12"/>
      <c r="I485" s="388"/>
      <c r="K485" s="388"/>
      <c r="L485" s="388"/>
    </row>
    <row r="486" spans="1:17" s="77" customFormat="1" x14ac:dyDescent="0.2">
      <c r="B486" s="388"/>
      <c r="C486" s="388"/>
      <c r="D486" s="12"/>
      <c r="E486" s="12"/>
      <c r="F486" s="12"/>
      <c r="G486" s="436"/>
      <c r="N486" s="388"/>
      <c r="P486" s="388"/>
      <c r="Q486" s="388"/>
    </row>
    <row r="487" spans="1:17" s="77" customFormat="1" x14ac:dyDescent="0.2">
      <c r="B487" s="388"/>
      <c r="C487" s="388"/>
      <c r="D487" s="12"/>
      <c r="E487" s="12"/>
      <c r="F487" s="12"/>
      <c r="G487" s="436"/>
      <c r="N487" s="388"/>
      <c r="P487" s="388"/>
      <c r="Q487" s="388"/>
    </row>
  </sheetData>
  <autoFilter ref="A9:W449"/>
  <mergeCells count="3">
    <mergeCell ref="N453:N473"/>
    <mergeCell ref="B6:B8"/>
    <mergeCell ref="A476:B480"/>
  </mergeCells>
  <phoneticPr fontId="24" type="noConversion"/>
  <conditionalFormatting sqref="B164">
    <cfRule type="cellIs" dxfId="72" priority="11" stopIfTrue="1" operator="equal">
      <formula>$B160</formula>
    </cfRule>
  </conditionalFormatting>
  <conditionalFormatting sqref="B166">
    <cfRule type="cellIs" dxfId="71" priority="12" stopIfTrue="1" operator="equal">
      <formula>$B161</formula>
    </cfRule>
  </conditionalFormatting>
  <conditionalFormatting sqref="B169">
    <cfRule type="cellIs" dxfId="70" priority="13" stopIfTrue="1" operator="equal">
      <formula>$B162</formula>
    </cfRule>
  </conditionalFormatting>
  <conditionalFormatting sqref="B171:B172 B176:B183 B252:B258">
    <cfRule type="cellIs" dxfId="69" priority="14" stopIfTrue="1" operator="equal">
      <formula>$B163</formula>
    </cfRule>
  </conditionalFormatting>
  <conditionalFormatting sqref="B174:B175 B185:B251">
    <cfRule type="cellIs" dxfId="68" priority="15" stopIfTrue="1" operator="equal">
      <formula>$B165</formula>
    </cfRule>
  </conditionalFormatting>
  <conditionalFormatting sqref="B13">
    <cfRule type="cellIs" dxfId="67" priority="16" stopIfTrue="1" operator="equal">
      <formula>$B252</formula>
    </cfRule>
  </conditionalFormatting>
  <conditionalFormatting sqref="B17:B19">
    <cfRule type="cellIs" dxfId="66" priority="17" stopIfTrue="1" operator="equal">
      <formula>$B253</formula>
    </cfRule>
  </conditionalFormatting>
  <conditionalFormatting sqref="B21">
    <cfRule type="cellIs" dxfId="65" priority="18" stopIfTrue="1" operator="equal">
      <formula>$B257</formula>
    </cfRule>
  </conditionalFormatting>
  <conditionalFormatting sqref="B291 B31">
    <cfRule type="cellIs" dxfId="64" priority="20" stopIfTrue="1" operator="equal">
      <formula>$B17</formula>
    </cfRule>
  </conditionalFormatting>
  <conditionalFormatting sqref="B285:B290 B328:B330">
    <cfRule type="cellIs" dxfId="63" priority="23" stopIfTrue="1" operator="equal">
      <formula>$B266</formula>
    </cfRule>
  </conditionalFormatting>
  <conditionalFormatting sqref="B279:B284">
    <cfRule type="cellIs" dxfId="62" priority="25" stopIfTrue="1" operator="equal">
      <formula>$B259</formula>
    </cfRule>
  </conditionalFormatting>
  <conditionalFormatting sqref="B442:B448">
    <cfRule type="cellIs" dxfId="61" priority="27" stopIfTrue="1" operator="equal">
      <formula>$B421</formula>
    </cfRule>
  </conditionalFormatting>
  <conditionalFormatting sqref="B402 B437">
    <cfRule type="cellIs" dxfId="60" priority="29" stopIfTrue="1" operator="equal">
      <formula>$B400</formula>
    </cfRule>
  </conditionalFormatting>
  <conditionalFormatting sqref="B438">
    <cfRule type="cellIs" dxfId="59" priority="30" stopIfTrue="1" operator="equal">
      <formula>$B408</formula>
    </cfRule>
  </conditionalFormatting>
  <conditionalFormatting sqref="B331:B333">
    <cfRule type="cellIs" dxfId="58" priority="34" stopIfTrue="1" operator="equal">
      <formula>$B312</formula>
    </cfRule>
  </conditionalFormatting>
  <conditionalFormatting sqref="B398:B401">
    <cfRule type="cellIs" dxfId="57" priority="35" stopIfTrue="1" operator="equal">
      <formula>$B370</formula>
    </cfRule>
  </conditionalFormatting>
  <conditionalFormatting sqref="B403:B436 B439:B441">
    <cfRule type="cellIs" dxfId="56" priority="36" stopIfTrue="1" operator="equal">
      <formula>$B374</formula>
    </cfRule>
  </conditionalFormatting>
  <conditionalFormatting sqref="B359:B368">
    <cfRule type="cellIs" dxfId="55" priority="37" stopIfTrue="1" operator="equal">
      <formula>$B349</formula>
    </cfRule>
  </conditionalFormatting>
  <conditionalFormatting sqref="B338">
    <cfRule type="cellIs" dxfId="54" priority="41" stopIfTrue="1" operator="equal">
      <formula>$B467</formula>
    </cfRule>
  </conditionalFormatting>
  <conditionalFormatting sqref="B336:B337">
    <cfRule type="cellIs" dxfId="53" priority="43" stopIfTrue="1" operator="equal">
      <formula>$B315</formula>
    </cfRule>
  </conditionalFormatting>
  <conditionalFormatting sqref="B461">
    <cfRule type="cellIs" dxfId="52" priority="45" stopIfTrue="1" operator="equal">
      <formula>$B167</formula>
    </cfRule>
  </conditionalFormatting>
  <conditionalFormatting sqref="B184">
    <cfRule type="cellIs" dxfId="51" priority="46" stopIfTrue="1" operator="equal">
      <formula>$B461</formula>
    </cfRule>
  </conditionalFormatting>
  <conditionalFormatting sqref="B471">
    <cfRule type="cellIs" dxfId="50" priority="48" stopIfTrue="1" operator="equal">
      <formula>$B409</formula>
    </cfRule>
  </conditionalFormatting>
  <conditionalFormatting sqref="B10">
    <cfRule type="cellIs" dxfId="49" priority="50" stopIfTrue="1" operator="equal">
      <formula>$B251</formula>
    </cfRule>
  </conditionalFormatting>
  <conditionalFormatting sqref="B23">
    <cfRule type="cellIs" dxfId="48" priority="51" stopIfTrue="1" operator="equal">
      <formula>$B258</formula>
    </cfRule>
  </conditionalFormatting>
  <conditionalFormatting sqref="B382 B369:B370">
    <cfRule type="cellIs" dxfId="47" priority="53" stopIfTrue="1" operator="equal">
      <formula>$B292</formula>
    </cfRule>
  </conditionalFormatting>
  <conditionalFormatting sqref="B33:B34 B30">
    <cfRule type="cellIs" dxfId="46" priority="55" stopIfTrue="1" operator="equal">
      <formula>$B15</formula>
    </cfRule>
  </conditionalFormatting>
  <conditionalFormatting sqref="B24:B25">
    <cfRule type="cellIs" dxfId="45" priority="57" stopIfTrue="1" operator="equal">
      <formula>$B10</formula>
    </cfRule>
  </conditionalFormatting>
  <conditionalFormatting sqref="B259:B261">
    <cfRule type="cellIs" dxfId="44" priority="59" stopIfTrue="1" operator="equal">
      <formula>$B20</formula>
    </cfRule>
  </conditionalFormatting>
  <conditionalFormatting sqref="B263">
    <cfRule type="cellIs" dxfId="43" priority="60" stopIfTrue="1" operator="equal">
      <formula>$B23</formula>
    </cfRule>
  </conditionalFormatting>
  <conditionalFormatting sqref="B269:B276">
    <cfRule type="cellIs" dxfId="42" priority="61" stopIfTrue="1" operator="equal">
      <formula>$B27</formula>
    </cfRule>
  </conditionalFormatting>
  <conditionalFormatting sqref="B278">
    <cfRule type="cellIs" dxfId="41" priority="63" stopIfTrue="1" operator="equal">
      <formula>$B35</formula>
    </cfRule>
  </conditionalFormatting>
  <conditionalFormatting sqref="B392:B397">
    <cfRule type="cellIs" dxfId="40" priority="72" stopIfTrue="1" operator="equal">
      <formula>$B364</formula>
    </cfRule>
  </conditionalFormatting>
  <conditionalFormatting sqref="B384:B390">
    <cfRule type="cellIs" dxfId="39" priority="73" stopIfTrue="1" operator="equal">
      <formula>$B359</formula>
    </cfRule>
  </conditionalFormatting>
  <conditionalFormatting sqref="B339">
    <cfRule type="cellIs" dxfId="38" priority="81" stopIfTrue="1" operator="equal">
      <formula>$B468</formula>
    </cfRule>
  </conditionalFormatting>
  <conditionalFormatting sqref="B356:B358">
    <cfRule type="cellIs" dxfId="37" priority="82" stopIfTrue="1" operator="equal">
      <formula>$B331</formula>
    </cfRule>
  </conditionalFormatting>
  <conditionalFormatting sqref="B59">
    <cfRule type="cellIs" dxfId="36" priority="83" stopIfTrue="1" operator="equal">
      <formula>$B291</formula>
    </cfRule>
  </conditionalFormatting>
  <conditionalFormatting sqref="B293">
    <cfRule type="cellIs" dxfId="35" priority="85" stopIfTrue="1" operator="equal">
      <formula>$B334</formula>
    </cfRule>
  </conditionalFormatting>
  <conditionalFormatting sqref="B383 B371:B380">
    <cfRule type="cellIs" dxfId="34" priority="86" stopIfTrue="1" operator="equal">
      <formula>$B295</formula>
    </cfRule>
  </conditionalFormatting>
  <conditionalFormatting sqref="B317">
    <cfRule type="cellIs" dxfId="33" priority="92" stopIfTrue="1" operator="equal">
      <formula>$B281</formula>
    </cfRule>
  </conditionalFormatting>
  <conditionalFormatting sqref="B467:B468">
    <cfRule type="cellIs" dxfId="32" priority="94" stopIfTrue="1" operator="equal">
      <formula>$B279</formula>
    </cfRule>
  </conditionalFormatting>
  <conditionalFormatting sqref="B319:B322 B315 B309:B312 B325:B327">
    <cfRule type="cellIs" dxfId="31" priority="95" stopIfTrue="1" operator="equal">
      <formula>$B272</formula>
    </cfRule>
  </conditionalFormatting>
  <conditionalFormatting sqref="B314 B324">
    <cfRule type="cellIs" dxfId="30" priority="98" stopIfTrue="1" operator="equal">
      <formula>$B276</formula>
    </cfRule>
  </conditionalFormatting>
  <conditionalFormatting sqref="B266:B268">
    <cfRule type="cellIs" dxfId="29" priority="100" stopIfTrue="1" operator="equal">
      <formula>$B24</formula>
    </cfRule>
  </conditionalFormatting>
  <conditionalFormatting sqref="B307">
    <cfRule type="cellIs" dxfId="28" priority="116" stopIfTrue="1" operator="equal">
      <formula>$B348</formula>
    </cfRule>
  </conditionalFormatting>
  <conditionalFormatting sqref="B35">
    <cfRule type="cellIs" dxfId="27" priority="117" stopIfTrue="1" operator="equal">
      <formula>$B335</formula>
    </cfRule>
  </conditionalFormatting>
  <conditionalFormatting sqref="B381">
    <cfRule type="cellIs" dxfId="26" priority="119" stopIfTrue="1" operator="equal">
      <formula>#REF!</formula>
    </cfRule>
  </conditionalFormatting>
  <conditionalFormatting sqref="B295:B304">
    <cfRule type="cellIs" dxfId="25" priority="126" stopIfTrue="1" operator="equal">
      <formula>$B336</formula>
    </cfRule>
  </conditionalFormatting>
  <conditionalFormatting sqref="B348">
    <cfRule type="cellIs" dxfId="24" priority="128" stopIfTrue="1" operator="equal">
      <formula>$B14</formula>
    </cfRule>
  </conditionalFormatting>
  <conditionalFormatting sqref="B14">
    <cfRule type="cellIs" dxfId="23" priority="130" stopIfTrue="1" operator="equal">
      <formula>$B287</formula>
    </cfRule>
  </conditionalFormatting>
  <conditionalFormatting sqref="B28:B29">
    <cfRule type="cellIs" dxfId="22" priority="133" stopIfTrue="1" operator="equal">
      <formula>$B12</formula>
    </cfRule>
  </conditionalFormatting>
  <conditionalFormatting sqref="B355">
    <cfRule type="cellIs" dxfId="21" priority="135" stopIfTrue="1" operator="equal">
      <formula>$B16</formula>
    </cfRule>
  </conditionalFormatting>
  <conditionalFormatting sqref="B340:B347">
    <cfRule type="cellIs" dxfId="20" priority="136" stopIfTrue="1" operator="equal">
      <formula>$B317</formula>
    </cfRule>
  </conditionalFormatting>
  <conditionalFormatting sqref="B305">
    <cfRule type="cellIs" dxfId="19" priority="143" stopIfTrue="1" operator="equal">
      <formula>$B347</formula>
    </cfRule>
  </conditionalFormatting>
  <conditionalFormatting sqref="B335">
    <cfRule type="cellIs" dxfId="18" priority="144" stopIfTrue="1" operator="equal">
      <formula>$B256</formula>
    </cfRule>
  </conditionalFormatting>
  <conditionalFormatting sqref="B308">
    <cfRule type="cellIs" dxfId="17" priority="146" stopIfTrue="1" operator="equal">
      <formula>$B243</formula>
    </cfRule>
  </conditionalFormatting>
  <conditionalFormatting sqref="B12">
    <cfRule type="cellIs" dxfId="16" priority="148" stopIfTrue="1" operator="equal">
      <formula>$B308</formula>
    </cfRule>
  </conditionalFormatting>
  <conditionalFormatting sqref="B292">
    <cfRule type="cellIs" dxfId="15" priority="150" stopIfTrue="1" operator="equal">
      <formula>$B59</formula>
    </cfRule>
  </conditionalFormatting>
  <conditionalFormatting sqref="B349:B354">
    <cfRule type="cellIs" dxfId="14" priority="152" stopIfTrue="1" operator="equal">
      <formula>$B325</formula>
    </cfRule>
  </conditionalFormatting>
  <conditionalFormatting sqref="B465">
    <cfRule type="cellIs" dxfId="13" priority="1" stopIfTrue="1" operator="equal">
      <formula>$B452</formula>
    </cfRule>
  </conditionalFormatting>
  <printOptions horizontalCentered="1"/>
  <pageMargins left="0.59" right="0.46" top="0.44" bottom="0.67" header="0.26" footer="0.32"/>
  <pageSetup scale="74" fitToWidth="2" fitToHeight="0" orientation="landscape" r:id="rId1"/>
  <headerFooter alignWithMargins="0">
    <oddHeader>&amp;RTO8 Annual Update (Revised)
Attachment 2
WP‐Schedule 7-2011 Plant Study
Page &amp;P of &amp;N</oddHeader>
    <oddFooter>&amp;C&amp;A</oddFooter>
  </headerFooter>
  <rowBreaks count="10" manualBreakCount="10">
    <brk id="53" max="14" man="1"/>
    <brk id="98" max="14" man="1"/>
    <brk id="143" max="14" man="1"/>
    <brk id="188" max="14" man="1"/>
    <brk id="233" max="14" man="1"/>
    <brk id="278" max="14" man="1"/>
    <brk id="323" max="14" man="1"/>
    <brk id="368" max="14" man="1"/>
    <brk id="413" max="14" man="1"/>
    <brk id="458" max="14" man="1"/>
  </rowBreaks>
  <colBreaks count="1" manualBreakCount="1">
    <brk id="13" max="47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P638"/>
  <sheetViews>
    <sheetView topLeftCell="B1" zoomScale="90" zoomScaleNormal="90" workbookViewId="0">
      <selection activeCell="B2" sqref="B2:P2"/>
    </sheetView>
  </sheetViews>
  <sheetFormatPr defaultRowHeight="15" outlineLevelRow="1" outlineLevelCol="1" x14ac:dyDescent="0.25"/>
  <cols>
    <col min="1" max="1" width="4.42578125" hidden="1" customWidth="1"/>
    <col min="2" max="2" width="15" customWidth="1"/>
    <col min="3" max="3" width="22.140625" customWidth="1"/>
    <col min="4" max="4" width="22.85546875" customWidth="1"/>
    <col min="5" max="5" width="10" customWidth="1" outlineLevel="1"/>
    <col min="6" max="6" width="14.42578125" style="613" customWidth="1"/>
    <col min="7" max="7" width="17.85546875" customWidth="1"/>
    <col min="8" max="9" width="17.7109375" customWidth="1"/>
    <col min="10" max="10" width="16.28515625" bestFit="1" customWidth="1"/>
    <col min="11" max="11" width="15" customWidth="1"/>
    <col min="12" max="12" width="16.140625" customWidth="1"/>
    <col min="13" max="13" width="12.85546875" bestFit="1" customWidth="1"/>
    <col min="14" max="14" width="13.85546875" bestFit="1" customWidth="1"/>
    <col min="15" max="15" width="14.85546875" customWidth="1"/>
    <col min="16" max="16" width="13.85546875" bestFit="1" customWidth="1"/>
  </cols>
  <sheetData>
    <row r="1" spans="1:16" ht="15.75" x14ac:dyDescent="0.25">
      <c r="A1" s="175"/>
      <c r="B1" s="803" t="s">
        <v>1510</v>
      </c>
      <c r="C1" s="803"/>
      <c r="D1" s="803"/>
      <c r="E1" s="803"/>
      <c r="F1" s="803"/>
      <c r="G1" s="803"/>
      <c r="H1" s="803"/>
      <c r="I1" s="803"/>
      <c r="J1" s="803"/>
      <c r="K1" s="803"/>
      <c r="L1" s="803"/>
      <c r="M1" s="803"/>
      <c r="N1" s="803"/>
      <c r="O1" s="803"/>
      <c r="P1" s="803"/>
    </row>
    <row r="2" spans="1:16" ht="15.75" x14ac:dyDescent="0.25">
      <c r="A2" s="175"/>
      <c r="B2" s="803" t="s">
        <v>1511</v>
      </c>
      <c r="C2" s="803"/>
      <c r="D2" s="803"/>
      <c r="E2" s="803"/>
      <c r="F2" s="803"/>
      <c r="G2" s="803"/>
      <c r="H2" s="803"/>
      <c r="I2" s="803"/>
      <c r="J2" s="803"/>
      <c r="K2" s="803"/>
      <c r="L2" s="803"/>
      <c r="M2" s="803"/>
      <c r="N2" s="803"/>
      <c r="O2" s="803"/>
      <c r="P2" s="803"/>
    </row>
    <row r="3" spans="1:16" ht="15.75" x14ac:dyDescent="0.25">
      <c r="A3" s="175"/>
      <c r="B3" s="803" t="s">
        <v>1775</v>
      </c>
      <c r="C3" s="803"/>
      <c r="D3" s="803"/>
      <c r="E3" s="803"/>
      <c r="F3" s="803"/>
      <c r="G3" s="803"/>
      <c r="H3" s="803"/>
      <c r="I3" s="803"/>
      <c r="J3" s="803"/>
      <c r="K3" s="803"/>
      <c r="L3" s="803"/>
      <c r="M3" s="803"/>
      <c r="N3" s="803"/>
      <c r="O3" s="803"/>
      <c r="P3" s="803"/>
    </row>
    <row r="4" spans="1:16" ht="15.75" customHeight="1" x14ac:dyDescent="0.25">
      <c r="A4" s="175"/>
      <c r="B4" s="804" t="s">
        <v>979</v>
      </c>
      <c r="C4" s="804"/>
      <c r="D4" s="804"/>
      <c r="E4" s="804"/>
      <c r="F4" s="804"/>
      <c r="G4" s="804"/>
      <c r="H4" s="804"/>
      <c r="I4" s="804"/>
      <c r="J4" s="804"/>
      <c r="K4" s="804"/>
      <c r="L4" s="804"/>
      <c r="M4" s="804"/>
      <c r="N4" s="804"/>
      <c r="O4" s="804"/>
      <c r="P4" s="804"/>
    </row>
    <row r="5" spans="1:16" x14ac:dyDescent="0.25">
      <c r="A5" s="175"/>
      <c r="B5" s="177"/>
      <c r="C5" s="177"/>
      <c r="D5" s="178"/>
      <c r="E5" s="179"/>
      <c r="F5" s="180"/>
      <c r="G5" s="181"/>
      <c r="H5" s="181"/>
      <c r="I5" s="181"/>
      <c r="J5" s="181"/>
      <c r="K5" s="181"/>
      <c r="L5" s="181"/>
      <c r="M5" s="181"/>
      <c r="N5" s="181"/>
      <c r="O5" s="182"/>
      <c r="P5" s="181"/>
    </row>
    <row r="6" spans="1:16" x14ac:dyDescent="0.25">
      <c r="A6" s="175">
        <v>1</v>
      </c>
      <c r="B6" s="183" t="s">
        <v>1512</v>
      </c>
      <c r="C6" s="184"/>
      <c r="D6" s="178" t="s">
        <v>1513</v>
      </c>
      <c r="E6" s="185" t="s">
        <v>1514</v>
      </c>
      <c r="F6" s="615" t="s">
        <v>1515</v>
      </c>
      <c r="G6" s="186" t="s">
        <v>1516</v>
      </c>
      <c r="H6" s="186"/>
      <c r="I6" s="186"/>
      <c r="J6" s="186"/>
      <c r="K6" s="186"/>
      <c r="L6" s="186"/>
      <c r="M6" s="186"/>
      <c r="N6" s="186"/>
      <c r="O6" s="186"/>
      <c r="P6" s="181"/>
    </row>
    <row r="7" spans="1:16" x14ac:dyDescent="0.25">
      <c r="A7" s="175">
        <v>1</v>
      </c>
      <c r="B7" s="187" t="s">
        <v>1517</v>
      </c>
      <c r="C7" s="188"/>
      <c r="D7" s="189" t="s">
        <v>1518</v>
      </c>
      <c r="E7" s="190" t="s">
        <v>1519</v>
      </c>
      <c r="F7" s="614" t="s">
        <v>1520</v>
      </c>
      <c r="G7" s="191" t="s">
        <v>1051</v>
      </c>
      <c r="H7" s="191" t="s">
        <v>1036</v>
      </c>
      <c r="I7" s="191" t="s">
        <v>1037</v>
      </c>
      <c r="J7" s="191" t="s">
        <v>1521</v>
      </c>
      <c r="K7" s="191" t="s">
        <v>1522</v>
      </c>
      <c r="L7" s="191" t="s">
        <v>1523</v>
      </c>
      <c r="M7" s="191" t="s">
        <v>1524</v>
      </c>
      <c r="N7" s="191" t="s">
        <v>1525</v>
      </c>
      <c r="O7" s="191" t="s">
        <v>1526</v>
      </c>
      <c r="P7" s="191" t="s">
        <v>1462</v>
      </c>
    </row>
    <row r="8" spans="1:16" x14ac:dyDescent="0.25">
      <c r="A8" s="175">
        <v>1</v>
      </c>
      <c r="B8" s="176"/>
      <c r="C8" s="183"/>
      <c r="D8" s="178"/>
      <c r="E8" s="179"/>
      <c r="F8" s="180"/>
      <c r="G8" s="181"/>
      <c r="H8" s="181"/>
      <c r="I8" s="181"/>
      <c r="J8" s="181"/>
      <c r="K8" s="181"/>
      <c r="L8" s="181"/>
      <c r="M8" s="181"/>
      <c r="N8" s="181"/>
      <c r="O8" s="181"/>
      <c r="P8" s="181"/>
    </row>
    <row r="9" spans="1:16" x14ac:dyDescent="0.25">
      <c r="A9" s="175">
        <v>1</v>
      </c>
      <c r="B9" s="176" t="s">
        <v>1527</v>
      </c>
      <c r="C9" s="183"/>
      <c r="D9" s="178"/>
      <c r="E9" s="179"/>
      <c r="F9" s="180"/>
      <c r="G9" s="192"/>
      <c r="H9" s="192"/>
      <c r="I9" s="192"/>
      <c r="J9" s="192"/>
      <c r="K9" s="192"/>
      <c r="L9" s="192"/>
      <c r="M9" s="192"/>
      <c r="N9" s="192"/>
      <c r="O9" s="192"/>
      <c r="P9" s="192"/>
    </row>
    <row r="10" spans="1:16" x14ac:dyDescent="0.25">
      <c r="A10" s="175">
        <v>1</v>
      </c>
      <c r="B10" s="193" t="s">
        <v>1528</v>
      </c>
      <c r="C10" s="193"/>
      <c r="D10" s="178">
        <v>4031</v>
      </c>
      <c r="E10" s="194">
        <v>336.17750000000001</v>
      </c>
      <c r="F10" s="195">
        <v>336.17750000000001</v>
      </c>
      <c r="G10" s="192">
        <v>0</v>
      </c>
      <c r="H10" s="192">
        <v>95840.85</v>
      </c>
      <c r="I10" s="192">
        <v>0</v>
      </c>
      <c r="J10" s="192">
        <v>27220052.609999999</v>
      </c>
      <c r="K10" s="192">
        <v>0</v>
      </c>
      <c r="L10" s="192">
        <v>14611107.800000001</v>
      </c>
      <c r="M10" s="192">
        <v>0</v>
      </c>
      <c r="N10" s="192">
        <v>0</v>
      </c>
      <c r="O10" s="192">
        <v>136840.9</v>
      </c>
      <c r="P10" s="192">
        <v>42063842.160000004</v>
      </c>
    </row>
    <row r="11" spans="1:16" x14ac:dyDescent="0.25">
      <c r="A11" s="175">
        <v>1</v>
      </c>
      <c r="B11" s="193" t="s">
        <v>1529</v>
      </c>
      <c r="C11" s="193"/>
      <c r="D11" s="178">
        <v>4034</v>
      </c>
      <c r="E11" s="194">
        <v>289.72500000000002</v>
      </c>
      <c r="F11" s="196">
        <v>289.72500000000002</v>
      </c>
      <c r="G11" s="197">
        <v>0</v>
      </c>
      <c r="H11" s="197">
        <v>540.83000000000004</v>
      </c>
      <c r="I11" s="197">
        <v>0</v>
      </c>
      <c r="J11" s="197">
        <v>7698607.4799999995</v>
      </c>
      <c r="K11" s="197">
        <v>0</v>
      </c>
      <c r="L11" s="197">
        <v>5631427.2300000004</v>
      </c>
      <c r="M11" s="197">
        <v>0</v>
      </c>
      <c r="N11" s="197">
        <v>0</v>
      </c>
      <c r="O11" s="197">
        <v>668870.63</v>
      </c>
      <c r="P11" s="197">
        <v>13999446.17</v>
      </c>
    </row>
    <row r="12" spans="1:16" x14ac:dyDescent="0.25">
      <c r="A12" s="175">
        <v>1</v>
      </c>
      <c r="B12" s="176"/>
      <c r="C12" s="198" t="s">
        <v>1530</v>
      </c>
      <c r="D12" s="178"/>
      <c r="E12" s="199">
        <v>625.90250000000003</v>
      </c>
      <c r="F12" s="200">
        <v>625.90250000000003</v>
      </c>
      <c r="G12" s="201">
        <v>0</v>
      </c>
      <c r="H12" s="201">
        <v>96381.680000000008</v>
      </c>
      <c r="I12" s="201">
        <v>0</v>
      </c>
      <c r="J12" s="201">
        <v>34918660.089999996</v>
      </c>
      <c r="K12" s="201">
        <v>0</v>
      </c>
      <c r="L12" s="201">
        <v>20242535.030000001</v>
      </c>
      <c r="M12" s="201">
        <v>0</v>
      </c>
      <c r="N12" s="201">
        <v>0</v>
      </c>
      <c r="O12" s="201">
        <v>805711.53</v>
      </c>
      <c r="P12" s="201">
        <v>56063288.330000006</v>
      </c>
    </row>
    <row r="13" spans="1:16" x14ac:dyDescent="0.25">
      <c r="A13" s="175">
        <v>1</v>
      </c>
      <c r="B13" s="176"/>
      <c r="C13" s="183"/>
      <c r="D13" s="178"/>
      <c r="E13" s="199"/>
      <c r="F13" s="195"/>
      <c r="G13" s="192"/>
      <c r="H13" s="192"/>
      <c r="I13" s="192"/>
      <c r="J13" s="192"/>
      <c r="K13" s="192"/>
      <c r="L13" s="192"/>
      <c r="M13" s="192"/>
      <c r="N13" s="192"/>
      <c r="O13" s="192"/>
      <c r="P13" s="192"/>
    </row>
    <row r="14" spans="1:16" ht="15.75" thickBot="1" x14ac:dyDescent="0.3">
      <c r="A14" s="175">
        <v>1</v>
      </c>
      <c r="B14" s="176"/>
      <c r="C14" s="202" t="s">
        <v>1531</v>
      </c>
      <c r="D14" s="203"/>
      <c r="E14" s="204">
        <v>625.90250000000003</v>
      </c>
      <c r="F14" s="205">
        <v>625.90250000000003</v>
      </c>
      <c r="G14" s="206">
        <v>0</v>
      </c>
      <c r="H14" s="206">
        <v>96381.680000000008</v>
      </c>
      <c r="I14" s="206">
        <v>0</v>
      </c>
      <c r="J14" s="206">
        <v>34918660.089999996</v>
      </c>
      <c r="K14" s="206">
        <v>0</v>
      </c>
      <c r="L14" s="206">
        <v>20242535.030000001</v>
      </c>
      <c r="M14" s="206">
        <v>0</v>
      </c>
      <c r="N14" s="206">
        <v>0</v>
      </c>
      <c r="O14" s="206">
        <v>805711.53</v>
      </c>
      <c r="P14" s="206">
        <v>56063288.330000006</v>
      </c>
    </row>
    <row r="15" spans="1:16" ht="15.75" thickTop="1" x14ac:dyDescent="0.25">
      <c r="A15" s="175">
        <v>1</v>
      </c>
      <c r="B15" s="176"/>
      <c r="C15" s="193"/>
      <c r="D15" s="178"/>
      <c r="E15" s="199"/>
      <c r="F15" s="195"/>
      <c r="G15" s="192"/>
      <c r="H15" s="192"/>
      <c r="I15" s="192"/>
      <c r="J15" s="192"/>
      <c r="K15" s="192"/>
      <c r="L15" s="192"/>
      <c r="M15" s="192"/>
      <c r="N15" s="192"/>
      <c r="O15" s="192"/>
      <c r="P15" s="192"/>
    </row>
    <row r="16" spans="1:16" x14ac:dyDescent="0.25">
      <c r="A16" s="175">
        <v>1</v>
      </c>
      <c r="B16" s="176" t="s">
        <v>1532</v>
      </c>
      <c r="C16" s="183"/>
      <c r="D16" s="178"/>
      <c r="E16" s="207"/>
      <c r="F16" s="195"/>
      <c r="G16" s="192"/>
      <c r="H16" s="192"/>
      <c r="I16" s="192"/>
      <c r="J16" s="192"/>
      <c r="K16" s="192"/>
      <c r="L16" s="192"/>
      <c r="M16" s="192"/>
      <c r="N16" s="192"/>
      <c r="O16" s="192"/>
      <c r="P16" s="192"/>
    </row>
    <row r="17" spans="1:16" x14ac:dyDescent="0.25">
      <c r="A17" s="175">
        <v>1</v>
      </c>
      <c r="B17" s="193" t="s">
        <v>1533</v>
      </c>
      <c r="C17" s="193"/>
      <c r="D17" s="178">
        <v>4185</v>
      </c>
      <c r="E17" s="194">
        <v>126.45459999999999</v>
      </c>
      <c r="F17" s="195">
        <v>126.45459999999999</v>
      </c>
      <c r="G17" s="192">
        <v>12546475.5</v>
      </c>
      <c r="H17" s="192">
        <v>0</v>
      </c>
      <c r="I17" s="192">
        <v>0</v>
      </c>
      <c r="J17" s="192">
        <v>28772328.350000001</v>
      </c>
      <c r="K17" s="192">
        <v>804.68000000000006</v>
      </c>
      <c r="L17" s="192">
        <v>21381648.710000001</v>
      </c>
      <c r="M17" s="192">
        <v>0</v>
      </c>
      <c r="N17" s="192">
        <v>1151660.45</v>
      </c>
      <c r="O17" s="192">
        <v>453081.41000000003</v>
      </c>
      <c r="P17" s="192">
        <v>64305999.100000001</v>
      </c>
    </row>
    <row r="18" spans="1:16" x14ac:dyDescent="0.25">
      <c r="A18" s="175">
        <v>1</v>
      </c>
      <c r="B18" s="193" t="s">
        <v>1534</v>
      </c>
      <c r="C18" s="193"/>
      <c r="D18" s="178">
        <v>4186</v>
      </c>
      <c r="E18" s="194">
        <v>112.0458</v>
      </c>
      <c r="F18" s="196">
        <v>112.0458</v>
      </c>
      <c r="G18" s="197">
        <v>1194334.76</v>
      </c>
      <c r="H18" s="197">
        <v>0</v>
      </c>
      <c r="I18" s="197">
        <v>0</v>
      </c>
      <c r="J18" s="197">
        <v>17297410.52</v>
      </c>
      <c r="K18" s="197">
        <v>0</v>
      </c>
      <c r="L18" s="197">
        <v>25189674.899999999</v>
      </c>
      <c r="M18" s="197">
        <v>0</v>
      </c>
      <c r="N18" s="197">
        <v>0</v>
      </c>
      <c r="O18" s="197">
        <v>147244.76</v>
      </c>
      <c r="P18" s="197">
        <v>43828664.939999998</v>
      </c>
    </row>
    <row r="19" spans="1:16" x14ac:dyDescent="0.25">
      <c r="A19" s="175">
        <v>1</v>
      </c>
      <c r="B19" s="208"/>
      <c r="C19" s="193" t="s">
        <v>1535</v>
      </c>
      <c r="D19" s="178"/>
      <c r="E19" s="199">
        <v>238.50039999999998</v>
      </c>
      <c r="F19" s="195">
        <v>238.50039999999998</v>
      </c>
      <c r="G19" s="192">
        <v>13740810.26</v>
      </c>
      <c r="H19" s="192">
        <v>0</v>
      </c>
      <c r="I19" s="192">
        <v>0</v>
      </c>
      <c r="J19" s="192">
        <v>46069738.870000005</v>
      </c>
      <c r="K19" s="192">
        <v>804.68000000000006</v>
      </c>
      <c r="L19" s="192">
        <v>46571323.609999999</v>
      </c>
      <c r="M19" s="192">
        <v>0</v>
      </c>
      <c r="N19" s="192">
        <v>1151660.45</v>
      </c>
      <c r="O19" s="192">
        <v>600326.17000000004</v>
      </c>
      <c r="P19" s="192">
        <v>108134664.03999999</v>
      </c>
    </row>
    <row r="20" spans="1:16" x14ac:dyDescent="0.25">
      <c r="A20" s="175">
        <v>1</v>
      </c>
      <c r="B20" s="208"/>
      <c r="C20" s="193"/>
      <c r="D20" s="178"/>
      <c r="E20" s="199"/>
      <c r="F20" s="180"/>
      <c r="G20" s="192"/>
      <c r="H20" s="192"/>
      <c r="I20" s="192"/>
      <c r="J20" s="192"/>
      <c r="K20" s="192"/>
      <c r="L20" s="192"/>
      <c r="M20" s="192"/>
      <c r="N20" s="192"/>
      <c r="O20" s="192"/>
      <c r="P20" s="192"/>
    </row>
    <row r="21" spans="1:16" x14ac:dyDescent="0.25">
      <c r="A21" s="175">
        <v>1</v>
      </c>
      <c r="B21" s="193" t="s">
        <v>1536</v>
      </c>
      <c r="C21" s="193"/>
      <c r="D21" s="178">
        <v>4187</v>
      </c>
      <c r="E21" s="194">
        <v>41.601199999999999</v>
      </c>
      <c r="F21" s="195">
        <v>41.601199999999999</v>
      </c>
      <c r="G21" s="192">
        <v>10444073.32</v>
      </c>
      <c r="H21" s="192">
        <v>0</v>
      </c>
      <c r="I21" s="192">
        <v>0</v>
      </c>
      <c r="J21" s="192">
        <v>21195906.16</v>
      </c>
      <c r="K21" s="192">
        <v>0</v>
      </c>
      <c r="L21" s="192">
        <v>11949086.67</v>
      </c>
      <c r="M21" s="192">
        <v>0</v>
      </c>
      <c r="N21" s="192">
        <v>0</v>
      </c>
      <c r="O21" s="192">
        <v>4790335.8499999996</v>
      </c>
      <c r="P21" s="192">
        <v>48379402</v>
      </c>
    </row>
    <row r="22" spans="1:16" x14ac:dyDescent="0.25">
      <c r="A22" s="175">
        <v>1</v>
      </c>
      <c r="B22" s="208"/>
      <c r="C22" s="193"/>
      <c r="D22" s="178"/>
      <c r="E22" s="199"/>
      <c r="F22" s="180"/>
      <c r="G22" s="192"/>
      <c r="H22" s="192"/>
      <c r="I22" s="192"/>
      <c r="J22" s="209"/>
      <c r="K22" s="192"/>
      <c r="L22" s="192"/>
      <c r="M22" s="192"/>
      <c r="N22" s="192"/>
      <c r="O22" s="192"/>
      <c r="P22" s="192"/>
    </row>
    <row r="23" spans="1:16" x14ac:dyDescent="0.25">
      <c r="A23" s="175">
        <v>1</v>
      </c>
      <c r="B23" s="193" t="s">
        <v>1537</v>
      </c>
      <c r="C23" s="193"/>
      <c r="D23" s="178">
        <v>4136</v>
      </c>
      <c r="E23" s="194">
        <v>150.6686</v>
      </c>
      <c r="F23" s="195">
        <v>150.6686</v>
      </c>
      <c r="G23" s="192">
        <v>1330373</v>
      </c>
      <c r="H23" s="192">
        <v>0</v>
      </c>
      <c r="I23" s="192">
        <v>0</v>
      </c>
      <c r="J23" s="192">
        <v>12189960.310000001</v>
      </c>
      <c r="K23" s="192">
        <v>0</v>
      </c>
      <c r="L23" s="192">
        <v>10420731.939999999</v>
      </c>
      <c r="M23" s="192">
        <v>0</v>
      </c>
      <c r="N23" s="192">
        <v>0</v>
      </c>
      <c r="O23" s="192">
        <v>117747.16999999998</v>
      </c>
      <c r="P23" s="192">
        <v>24058812.420000002</v>
      </c>
    </row>
    <row r="24" spans="1:16" x14ac:dyDescent="0.25">
      <c r="A24" s="175">
        <v>1</v>
      </c>
      <c r="B24" s="193" t="s">
        <v>1538</v>
      </c>
      <c r="C24" s="193"/>
      <c r="D24" s="178">
        <v>4137</v>
      </c>
      <c r="E24" s="194">
        <v>26.509</v>
      </c>
      <c r="F24" s="196">
        <v>26.509</v>
      </c>
      <c r="G24" s="197">
        <v>16589.080000000002</v>
      </c>
      <c r="H24" s="197">
        <v>0</v>
      </c>
      <c r="I24" s="197">
        <v>0</v>
      </c>
      <c r="J24" s="197">
        <v>2027936.36</v>
      </c>
      <c r="K24" s="197">
        <v>0</v>
      </c>
      <c r="L24" s="197">
        <v>1784137.46</v>
      </c>
      <c r="M24" s="197">
        <v>0</v>
      </c>
      <c r="N24" s="197">
        <v>0</v>
      </c>
      <c r="O24" s="197">
        <v>20088.12</v>
      </c>
      <c r="P24" s="197">
        <v>3848751.0200000005</v>
      </c>
    </row>
    <row r="25" spans="1:16" x14ac:dyDescent="0.25">
      <c r="A25" s="175">
        <v>1</v>
      </c>
      <c r="B25" s="193"/>
      <c r="C25" s="193" t="s">
        <v>1539</v>
      </c>
      <c r="D25" s="178"/>
      <c r="E25" s="199">
        <v>177.17759999999998</v>
      </c>
      <c r="F25" s="200">
        <v>177.17759999999998</v>
      </c>
      <c r="G25" s="192">
        <v>1346962.08</v>
      </c>
      <c r="H25" s="192">
        <v>0</v>
      </c>
      <c r="I25" s="192">
        <v>0</v>
      </c>
      <c r="J25" s="192">
        <v>14217896.67</v>
      </c>
      <c r="K25" s="192">
        <v>0</v>
      </c>
      <c r="L25" s="192">
        <v>12204869.399999999</v>
      </c>
      <c r="M25" s="192">
        <v>0</v>
      </c>
      <c r="N25" s="192">
        <v>0</v>
      </c>
      <c r="O25" s="192">
        <v>137835.28999999998</v>
      </c>
      <c r="P25" s="192">
        <v>27907563.440000001</v>
      </c>
    </row>
    <row r="26" spans="1:16" x14ac:dyDescent="0.25">
      <c r="A26" s="175">
        <v>1</v>
      </c>
      <c r="B26" s="193"/>
      <c r="C26" s="193"/>
      <c r="D26" s="178"/>
      <c r="E26" s="199"/>
      <c r="F26" s="180"/>
      <c r="G26" s="192"/>
      <c r="H26" s="192"/>
      <c r="I26" s="192"/>
      <c r="J26" s="192"/>
      <c r="K26" s="192"/>
      <c r="L26" s="192"/>
      <c r="M26" s="192"/>
      <c r="N26" s="192"/>
      <c r="O26" s="192"/>
      <c r="P26" s="192"/>
    </row>
    <row r="27" spans="1:16" x14ac:dyDescent="0.25">
      <c r="A27" s="175">
        <v>1</v>
      </c>
      <c r="B27" s="193" t="s">
        <v>1540</v>
      </c>
      <c r="C27" s="193"/>
      <c r="D27" s="178" t="s">
        <v>1541</v>
      </c>
      <c r="E27" s="210">
        <v>0.6</v>
      </c>
      <c r="F27" s="195"/>
      <c r="G27" s="192"/>
      <c r="H27" s="192"/>
      <c r="I27" s="192"/>
      <c r="J27" s="192"/>
      <c r="K27" s="192"/>
      <c r="L27" s="192"/>
      <c r="M27" s="192"/>
      <c r="N27" s="192"/>
      <c r="O27" s="192"/>
      <c r="P27" s="211" t="s">
        <v>1541</v>
      </c>
    </row>
    <row r="28" spans="1:16" x14ac:dyDescent="0.25">
      <c r="A28" s="175">
        <v>1</v>
      </c>
      <c r="B28" s="193"/>
      <c r="C28" s="193"/>
      <c r="D28" s="178"/>
      <c r="E28" s="199"/>
      <c r="F28" s="180"/>
      <c r="G28" s="192"/>
      <c r="H28" s="192"/>
      <c r="I28" s="192"/>
      <c r="J28" s="192"/>
      <c r="K28" s="192"/>
      <c r="L28" s="192"/>
      <c r="M28" s="192"/>
      <c r="N28" s="192"/>
      <c r="O28" s="192"/>
      <c r="P28" s="192"/>
    </row>
    <row r="29" spans="1:16" x14ac:dyDescent="0.25">
      <c r="A29" s="175">
        <v>1</v>
      </c>
      <c r="B29" s="193" t="s">
        <v>1542</v>
      </c>
      <c r="C29" s="193"/>
      <c r="D29" s="178">
        <v>4143</v>
      </c>
      <c r="E29" s="194">
        <v>29.645799999999998</v>
      </c>
      <c r="F29" s="195">
        <v>29.645799999999998</v>
      </c>
      <c r="G29" s="192">
        <v>6166.88</v>
      </c>
      <c r="H29" s="192">
        <v>0</v>
      </c>
      <c r="I29" s="192">
        <v>0</v>
      </c>
      <c r="J29" s="192">
        <v>2588095.0300000003</v>
      </c>
      <c r="K29" s="192">
        <v>0</v>
      </c>
      <c r="L29" s="192">
        <v>1880705.48</v>
      </c>
      <c r="M29" s="192">
        <v>0</v>
      </c>
      <c r="N29" s="192">
        <v>0</v>
      </c>
      <c r="O29" s="192">
        <v>145064.49</v>
      </c>
      <c r="P29" s="192">
        <v>4620031.8800000008</v>
      </c>
    </row>
    <row r="30" spans="1:16" x14ac:dyDescent="0.25">
      <c r="A30" s="175">
        <v>1</v>
      </c>
      <c r="B30" s="193"/>
      <c r="C30" s="193"/>
      <c r="D30" s="178"/>
      <c r="E30" s="199"/>
      <c r="F30" s="180"/>
      <c r="G30" s="192"/>
      <c r="H30" s="192"/>
      <c r="I30" s="192"/>
      <c r="J30" s="192"/>
      <c r="K30" s="192"/>
      <c r="L30" s="192"/>
      <c r="M30" s="192"/>
      <c r="N30" s="192"/>
      <c r="O30" s="192"/>
      <c r="P30" s="192"/>
    </row>
    <row r="31" spans="1:16" x14ac:dyDescent="0.25">
      <c r="A31" s="175">
        <v>1</v>
      </c>
      <c r="B31" s="193" t="s">
        <v>1543</v>
      </c>
      <c r="C31" s="193"/>
      <c r="D31" s="178">
        <v>4141</v>
      </c>
      <c r="E31" s="194">
        <v>59.3947</v>
      </c>
      <c r="F31" s="195">
        <v>59.3947</v>
      </c>
      <c r="G31" s="192">
        <v>76199.12</v>
      </c>
      <c r="H31" s="192">
        <v>0</v>
      </c>
      <c r="I31" s="192">
        <v>0</v>
      </c>
      <c r="J31" s="192">
        <v>1155537.9900000002</v>
      </c>
      <c r="K31" s="192">
        <v>0</v>
      </c>
      <c r="L31" s="192">
        <v>1251359.25</v>
      </c>
      <c r="M31" s="192">
        <v>0</v>
      </c>
      <c r="N31" s="192">
        <v>0</v>
      </c>
      <c r="O31" s="192">
        <v>55916.25</v>
      </c>
      <c r="P31" s="192">
        <v>2539012.6100000003</v>
      </c>
    </row>
    <row r="32" spans="1:16" x14ac:dyDescent="0.25">
      <c r="A32" s="175">
        <v>1</v>
      </c>
      <c r="B32" s="193"/>
      <c r="C32" s="193"/>
      <c r="D32" s="178"/>
      <c r="E32" s="212"/>
      <c r="F32" s="180"/>
      <c r="G32" s="192"/>
      <c r="H32" s="192"/>
      <c r="I32" s="192"/>
      <c r="J32" s="192"/>
      <c r="K32" s="192"/>
      <c r="L32" s="192"/>
      <c r="M32" s="192"/>
      <c r="N32" s="192"/>
      <c r="O32" s="192"/>
      <c r="P32" s="192"/>
    </row>
    <row r="33" spans="1:16" x14ac:dyDescent="0.25">
      <c r="A33" s="175">
        <v>1</v>
      </c>
      <c r="B33" s="193" t="s">
        <v>1544</v>
      </c>
      <c r="C33" s="193"/>
      <c r="D33" s="178" t="s">
        <v>1541</v>
      </c>
      <c r="E33" s="210">
        <v>0.22</v>
      </c>
      <c r="F33" s="195"/>
      <c r="G33" s="192"/>
      <c r="H33" s="192"/>
      <c r="I33" s="192"/>
      <c r="J33" s="192"/>
      <c r="K33" s="192"/>
      <c r="L33" s="192"/>
      <c r="M33" s="192"/>
      <c r="N33" s="192"/>
      <c r="O33" s="192"/>
      <c r="P33" s="211" t="s">
        <v>1541</v>
      </c>
    </row>
    <row r="34" spans="1:16" x14ac:dyDescent="0.25">
      <c r="A34" s="175">
        <v>1</v>
      </c>
      <c r="B34" s="193"/>
      <c r="C34" s="193"/>
      <c r="D34" s="178"/>
      <c r="E34" s="213"/>
      <c r="F34" s="180"/>
      <c r="G34" s="214"/>
      <c r="H34" s="214"/>
      <c r="I34" s="214"/>
      <c r="J34" s="214"/>
      <c r="K34" s="214"/>
      <c r="L34" s="214"/>
      <c r="M34" s="214"/>
      <c r="N34" s="214"/>
      <c r="O34" s="214"/>
      <c r="P34" s="214"/>
    </row>
    <row r="35" spans="1:16" x14ac:dyDescent="0.25">
      <c r="A35" s="175">
        <v>1</v>
      </c>
      <c r="B35" s="193" t="s">
        <v>1545</v>
      </c>
      <c r="C35" s="193"/>
      <c r="D35" s="178">
        <v>4130</v>
      </c>
      <c r="E35" s="194">
        <v>9.8529999999999998</v>
      </c>
      <c r="F35" s="195">
        <v>9.8529999999999998</v>
      </c>
      <c r="G35" s="192">
        <v>157989.61000000002</v>
      </c>
      <c r="H35" s="192">
        <v>0</v>
      </c>
      <c r="I35" s="192">
        <v>0</v>
      </c>
      <c r="J35" s="192">
        <v>420632.4</v>
      </c>
      <c r="K35" s="192">
        <v>0</v>
      </c>
      <c r="L35" s="192">
        <v>517455.16000000009</v>
      </c>
      <c r="M35" s="192">
        <v>0</v>
      </c>
      <c r="N35" s="192">
        <v>0</v>
      </c>
      <c r="O35" s="192">
        <v>19050.7</v>
      </c>
      <c r="P35" s="192">
        <v>1115127.8700000001</v>
      </c>
    </row>
    <row r="36" spans="1:16" x14ac:dyDescent="0.25">
      <c r="A36" s="175">
        <v>1</v>
      </c>
      <c r="B36" s="193" t="s">
        <v>1546</v>
      </c>
      <c r="C36" s="193"/>
      <c r="D36" s="178">
        <v>4140</v>
      </c>
      <c r="E36" s="194">
        <v>165.9571</v>
      </c>
      <c r="F36" s="196">
        <v>165.9571</v>
      </c>
      <c r="G36" s="197">
        <v>278111.81</v>
      </c>
      <c r="H36" s="197">
        <v>0</v>
      </c>
      <c r="I36" s="197">
        <v>0</v>
      </c>
      <c r="J36" s="197">
        <v>12178545.18</v>
      </c>
      <c r="K36" s="197">
        <v>1375948.02</v>
      </c>
      <c r="L36" s="197">
        <v>9649509.5199999996</v>
      </c>
      <c r="M36" s="197">
        <v>0</v>
      </c>
      <c r="N36" s="197">
        <v>0</v>
      </c>
      <c r="O36" s="197">
        <v>329332.83</v>
      </c>
      <c r="P36" s="197">
        <v>23811447.359999999</v>
      </c>
    </row>
    <row r="37" spans="1:16" x14ac:dyDescent="0.25">
      <c r="A37" s="175">
        <v>1</v>
      </c>
      <c r="B37" s="193"/>
      <c r="C37" s="193" t="s">
        <v>1547</v>
      </c>
      <c r="D37" s="178"/>
      <c r="E37" s="215">
        <v>175.81010000000001</v>
      </c>
      <c r="F37" s="216">
        <v>175.81010000000001</v>
      </c>
      <c r="G37" s="201">
        <v>436101.42000000004</v>
      </c>
      <c r="H37" s="201">
        <v>0</v>
      </c>
      <c r="I37" s="201">
        <v>0</v>
      </c>
      <c r="J37" s="201">
        <v>12599177.58</v>
      </c>
      <c r="K37" s="201">
        <v>1375948.02</v>
      </c>
      <c r="L37" s="201">
        <v>10166964.68</v>
      </c>
      <c r="M37" s="201">
        <v>0</v>
      </c>
      <c r="N37" s="201">
        <v>0</v>
      </c>
      <c r="O37" s="201">
        <v>348383.53</v>
      </c>
      <c r="P37" s="201">
        <v>24926575.23</v>
      </c>
    </row>
    <row r="38" spans="1:16" x14ac:dyDescent="0.25">
      <c r="A38" s="175">
        <v>1</v>
      </c>
      <c r="B38" s="193"/>
      <c r="C38" s="193"/>
      <c r="D38" s="178"/>
      <c r="E38" s="212"/>
      <c r="F38" s="180"/>
      <c r="G38" s="192"/>
      <c r="H38" s="192"/>
      <c r="I38" s="192"/>
      <c r="J38" s="192"/>
      <c r="K38" s="192"/>
      <c r="L38" s="192"/>
      <c r="M38" s="192"/>
      <c r="N38" s="192"/>
      <c r="O38" s="192"/>
      <c r="P38" s="192"/>
    </row>
    <row r="39" spans="1:16" x14ac:dyDescent="0.25">
      <c r="A39" s="175">
        <v>1</v>
      </c>
      <c r="B39" s="193" t="s">
        <v>1548</v>
      </c>
      <c r="C39" s="193"/>
      <c r="D39" s="178">
        <v>4138</v>
      </c>
      <c r="E39" s="215">
        <v>30.588699999999999</v>
      </c>
      <c r="F39" s="195">
        <v>96.506100000000004</v>
      </c>
      <c r="G39" s="192">
        <v>3044536.1600487847</v>
      </c>
      <c r="H39" s="192">
        <v>0</v>
      </c>
      <c r="I39" s="192">
        <v>31.12243115202044</v>
      </c>
      <c r="J39" s="192">
        <v>8352556.6800841289</v>
      </c>
      <c r="K39" s="192">
        <v>37477.413523880874</v>
      </c>
      <c r="L39" s="192">
        <v>5848512.9164187331</v>
      </c>
      <c r="M39" s="192">
        <v>0</v>
      </c>
      <c r="N39" s="192">
        <v>0</v>
      </c>
      <c r="O39" s="192">
        <v>200591.95794180888</v>
      </c>
      <c r="P39" s="192">
        <v>17483706.250448488</v>
      </c>
    </row>
    <row r="40" spans="1:16" x14ac:dyDescent="0.25">
      <c r="A40" s="175">
        <v>1</v>
      </c>
      <c r="B40" s="217"/>
      <c r="C40" s="217"/>
      <c r="D40" s="218"/>
      <c r="E40" s="606"/>
      <c r="F40" s="221"/>
      <c r="G40" s="182"/>
      <c r="H40" s="182"/>
      <c r="I40" s="182"/>
      <c r="J40" s="182"/>
      <c r="K40" s="182"/>
      <c r="L40" s="182"/>
      <c r="M40" s="182"/>
      <c r="N40" s="182"/>
      <c r="O40" s="182"/>
      <c r="P40" s="182"/>
    </row>
    <row r="41" spans="1:16" x14ac:dyDescent="0.25">
      <c r="A41" s="175">
        <v>1</v>
      </c>
      <c r="B41" s="193" t="s">
        <v>1549</v>
      </c>
      <c r="C41" s="193"/>
      <c r="D41" s="178">
        <v>4138</v>
      </c>
      <c r="E41" s="616">
        <v>31.4223</v>
      </c>
      <c r="F41" s="195">
        <v>96.506100000000004</v>
      </c>
      <c r="G41" s="192">
        <v>3127505.5357665056</v>
      </c>
      <c r="H41" s="192">
        <v>0</v>
      </c>
      <c r="I41" s="192">
        <v>31.970576336625353</v>
      </c>
      <c r="J41" s="192">
        <v>8580179.6666287724</v>
      </c>
      <c r="K41" s="192">
        <v>38498.744012378491</v>
      </c>
      <c r="L41" s="192">
        <v>6007895.9685630444</v>
      </c>
      <c r="M41" s="192">
        <v>0</v>
      </c>
      <c r="N41" s="192">
        <v>0</v>
      </c>
      <c r="O41" s="192">
        <v>206058.46865132879</v>
      </c>
      <c r="P41" s="192">
        <v>17960170.354198363</v>
      </c>
    </row>
    <row r="42" spans="1:16" x14ac:dyDescent="0.25">
      <c r="A42" s="175">
        <v>1</v>
      </c>
      <c r="B42" s="193"/>
      <c r="C42" s="193"/>
      <c r="D42" s="178"/>
      <c r="E42" s="616"/>
      <c r="F42" s="195"/>
      <c r="G42" s="192"/>
      <c r="H42" s="192"/>
      <c r="I42" s="192"/>
      <c r="J42" s="192"/>
      <c r="K42" s="192"/>
      <c r="L42" s="192"/>
      <c r="M42" s="192"/>
      <c r="N42" s="192"/>
      <c r="O42" s="192"/>
      <c r="P42" s="192"/>
    </row>
    <row r="43" spans="1:16" x14ac:dyDescent="0.25">
      <c r="A43" s="175">
        <v>1</v>
      </c>
      <c r="B43" s="193" t="s">
        <v>826</v>
      </c>
      <c r="C43" s="193"/>
      <c r="D43" s="198">
        <v>4138</v>
      </c>
      <c r="E43" s="616">
        <v>26.974196507042247</v>
      </c>
      <c r="F43" s="195">
        <v>96.506100000000004</v>
      </c>
      <c r="G43" s="192">
        <v>2684779.5641511977</v>
      </c>
      <c r="H43" s="192">
        <v>0</v>
      </c>
      <c r="I43" s="192">
        <v>27.444859496202604</v>
      </c>
      <c r="J43" s="192">
        <v>7365579.6168126697</v>
      </c>
      <c r="K43" s="192">
        <v>33048.907504040559</v>
      </c>
      <c r="L43" s="192">
        <v>5157425.3460086137</v>
      </c>
      <c r="M43" s="192">
        <v>0</v>
      </c>
      <c r="N43" s="192">
        <v>0</v>
      </c>
      <c r="O43" s="192">
        <v>176889.07639928165</v>
      </c>
      <c r="P43" s="192">
        <v>15417749.9557353</v>
      </c>
    </row>
    <row r="44" spans="1:16" x14ac:dyDescent="0.25">
      <c r="A44" s="175">
        <v>1</v>
      </c>
      <c r="B44" s="193"/>
      <c r="C44" s="193"/>
      <c r="D44" s="178"/>
      <c r="E44" s="616"/>
      <c r="F44" s="195"/>
      <c r="G44" s="192"/>
      <c r="H44" s="192"/>
      <c r="I44" s="192"/>
      <c r="J44" s="192"/>
      <c r="K44" s="192"/>
      <c r="L44" s="192"/>
      <c r="M44" s="192"/>
      <c r="N44" s="192"/>
      <c r="O44" s="192"/>
      <c r="P44" s="192"/>
    </row>
    <row r="45" spans="1:16" x14ac:dyDescent="0.25">
      <c r="A45" s="175">
        <v>1</v>
      </c>
      <c r="B45" s="193" t="s">
        <v>827</v>
      </c>
      <c r="C45" s="193"/>
      <c r="D45" s="198">
        <v>4138</v>
      </c>
      <c r="E45" s="616">
        <v>7.5209034929577454</v>
      </c>
      <c r="F45" s="195">
        <v>96.506100000000004</v>
      </c>
      <c r="G45" s="192">
        <v>748566.06003351114</v>
      </c>
      <c r="H45" s="192">
        <v>0</v>
      </c>
      <c r="I45" s="192">
        <v>7.6521330151515912</v>
      </c>
      <c r="J45" s="192">
        <v>2053659.446474426</v>
      </c>
      <c r="K45" s="192">
        <v>9214.6449597000683</v>
      </c>
      <c r="L45" s="192">
        <v>1437985.3090096065</v>
      </c>
      <c r="M45" s="192">
        <v>0</v>
      </c>
      <c r="N45" s="192">
        <v>0</v>
      </c>
      <c r="O45" s="192">
        <v>49319.937007580687</v>
      </c>
      <c r="P45" s="192">
        <v>4298753.04961784</v>
      </c>
    </row>
    <row r="46" spans="1:16" x14ac:dyDescent="0.25">
      <c r="A46" s="175">
        <v>1</v>
      </c>
      <c r="B46" s="217"/>
      <c r="C46" s="217"/>
      <c r="D46" s="218"/>
      <c r="E46" s="606"/>
      <c r="F46" s="221"/>
      <c r="G46" s="182"/>
      <c r="H46" s="222"/>
      <c r="I46" s="182"/>
      <c r="J46" s="182"/>
      <c r="K46" s="182"/>
      <c r="L46" s="182"/>
      <c r="M46" s="182"/>
      <c r="N46" s="182"/>
      <c r="O46" s="182"/>
      <c r="P46" s="182"/>
    </row>
    <row r="47" spans="1:16" x14ac:dyDescent="0.25">
      <c r="A47" s="175">
        <v>1</v>
      </c>
      <c r="B47" s="193"/>
      <c r="C47" s="193" t="s">
        <v>1726</v>
      </c>
      <c r="D47" s="198"/>
      <c r="E47" s="223">
        <v>96.506099999999989</v>
      </c>
      <c r="F47" s="224">
        <v>96.506100000000004</v>
      </c>
      <c r="G47" s="225">
        <v>9605387.3200000003</v>
      </c>
      <c r="H47" s="226">
        <v>0</v>
      </c>
      <c r="I47" s="225">
        <v>98.189999999999984</v>
      </c>
      <c r="J47" s="225">
        <v>26351975.409999996</v>
      </c>
      <c r="K47" s="225">
        <v>118239.70999999999</v>
      </c>
      <c r="L47" s="225">
        <v>18451819.539999999</v>
      </c>
      <c r="M47" s="225">
        <v>0</v>
      </c>
      <c r="N47" s="225">
        <v>0</v>
      </c>
      <c r="O47" s="225">
        <v>632859.43999999994</v>
      </c>
      <c r="P47" s="226">
        <v>55160379.609999985</v>
      </c>
    </row>
    <row r="48" spans="1:16" x14ac:dyDescent="0.25">
      <c r="A48" s="175">
        <v>1</v>
      </c>
      <c r="B48" s="193"/>
      <c r="C48" s="227"/>
      <c r="D48" s="178"/>
      <c r="E48" s="215"/>
      <c r="F48" s="180"/>
      <c r="G48" s="192"/>
      <c r="H48" s="192"/>
      <c r="I48" s="192"/>
      <c r="J48" s="192"/>
      <c r="K48" s="192"/>
      <c r="L48" s="192"/>
      <c r="M48" s="192"/>
      <c r="N48" s="192"/>
      <c r="O48" s="192"/>
      <c r="P48" s="192"/>
    </row>
    <row r="49" spans="1:16" x14ac:dyDescent="0.25">
      <c r="A49" s="175">
        <v>1</v>
      </c>
      <c r="B49" s="193" t="s">
        <v>1550</v>
      </c>
      <c r="C49" s="193"/>
      <c r="D49" s="178">
        <v>4154</v>
      </c>
      <c r="E49" s="616">
        <v>7.5735000000000001</v>
      </c>
      <c r="F49" s="195">
        <v>7.5735000000000001</v>
      </c>
      <c r="G49" s="192">
        <v>751548.67</v>
      </c>
      <c r="H49" s="192">
        <v>0</v>
      </c>
      <c r="I49" s="192">
        <v>0</v>
      </c>
      <c r="J49" s="192">
        <v>1157576.74</v>
      </c>
      <c r="K49" s="192">
        <v>0</v>
      </c>
      <c r="L49" s="192">
        <v>759625.13</v>
      </c>
      <c r="M49" s="192">
        <v>0</v>
      </c>
      <c r="N49" s="192">
        <v>0</v>
      </c>
      <c r="O49" s="192">
        <v>0</v>
      </c>
      <c r="P49" s="192">
        <v>2668750.54</v>
      </c>
    </row>
    <row r="50" spans="1:16" x14ac:dyDescent="0.25">
      <c r="A50" s="175">
        <v>1</v>
      </c>
      <c r="B50" s="193"/>
      <c r="C50" s="193"/>
      <c r="D50" s="178"/>
      <c r="E50" s="215"/>
      <c r="F50" s="180"/>
      <c r="G50" s="192"/>
      <c r="H50" s="192"/>
      <c r="I50" s="192"/>
      <c r="J50" s="192"/>
      <c r="K50" s="192"/>
      <c r="L50" s="192"/>
      <c r="M50" s="192"/>
      <c r="N50" s="192"/>
      <c r="O50" s="192"/>
      <c r="P50" s="192"/>
    </row>
    <row r="51" spans="1:16" x14ac:dyDescent="0.25">
      <c r="A51" s="175">
        <v>1</v>
      </c>
      <c r="B51" s="193" t="s">
        <v>1551</v>
      </c>
      <c r="C51" s="193"/>
      <c r="D51" s="178">
        <v>4123</v>
      </c>
      <c r="E51" s="215">
        <v>47.164399999999993</v>
      </c>
      <c r="F51" s="195">
        <v>94.386800000000008</v>
      </c>
      <c r="G51" s="192">
        <v>866927.46184517303</v>
      </c>
      <c r="H51" s="192">
        <v>0</v>
      </c>
      <c r="I51" s="192">
        <v>8311.3645867854393</v>
      </c>
      <c r="J51" s="192">
        <v>3876289.4887967804</v>
      </c>
      <c r="K51" s="192">
        <v>0</v>
      </c>
      <c r="L51" s="192">
        <v>3569520.9467352633</v>
      </c>
      <c r="M51" s="192">
        <v>0</v>
      </c>
      <c r="N51" s="192">
        <v>0</v>
      </c>
      <c r="O51" s="192">
        <v>944.71412311891049</v>
      </c>
      <c r="P51" s="192">
        <v>8321993.9760871213</v>
      </c>
    </row>
    <row r="52" spans="1:16" x14ac:dyDescent="0.25">
      <c r="A52" s="175">
        <v>1</v>
      </c>
      <c r="B52" s="193"/>
      <c r="C52" s="193"/>
      <c r="D52" s="178"/>
      <c r="E52" s="215"/>
      <c r="F52" s="180"/>
      <c r="G52" s="192"/>
      <c r="H52" s="192"/>
      <c r="I52" s="192"/>
      <c r="J52" s="192"/>
      <c r="K52" s="192"/>
      <c r="L52" s="192"/>
      <c r="M52" s="192"/>
      <c r="N52" s="192"/>
      <c r="O52" s="192"/>
      <c r="P52" s="192"/>
    </row>
    <row r="53" spans="1:16" x14ac:dyDescent="0.25">
      <c r="A53" s="175">
        <v>1</v>
      </c>
      <c r="B53" s="193" t="s">
        <v>1552</v>
      </c>
      <c r="C53" s="193"/>
      <c r="D53" s="178">
        <v>4123</v>
      </c>
      <c r="E53" s="215">
        <v>47.2224</v>
      </c>
      <c r="F53" s="195">
        <v>94.386800000000008</v>
      </c>
      <c r="G53" s="192">
        <v>867993.55815482675</v>
      </c>
      <c r="H53" s="192">
        <v>0</v>
      </c>
      <c r="I53" s="192">
        <v>8321.5854132145596</v>
      </c>
      <c r="J53" s="192">
        <v>3881056.3212032188</v>
      </c>
      <c r="K53" s="192">
        <v>0</v>
      </c>
      <c r="L53" s="192">
        <v>3573910.5332647362</v>
      </c>
      <c r="M53" s="192">
        <v>0</v>
      </c>
      <c r="N53" s="192">
        <v>0</v>
      </c>
      <c r="O53" s="192">
        <v>945.8758768810892</v>
      </c>
      <c r="P53" s="192">
        <v>8332227.8739128765</v>
      </c>
    </row>
    <row r="54" spans="1:16" x14ac:dyDescent="0.25">
      <c r="A54" s="175">
        <v>1</v>
      </c>
      <c r="B54" s="176"/>
      <c r="C54" s="183"/>
      <c r="D54" s="178"/>
      <c r="E54" s="215"/>
      <c r="F54" s="180"/>
      <c r="G54" s="192"/>
      <c r="H54" s="192"/>
      <c r="I54" s="192"/>
      <c r="J54" s="192"/>
      <c r="K54" s="192"/>
      <c r="L54" s="192"/>
      <c r="M54" s="192"/>
      <c r="N54" s="192"/>
      <c r="O54" s="192"/>
      <c r="P54" s="192"/>
    </row>
    <row r="55" spans="1:16" x14ac:dyDescent="0.25">
      <c r="A55" s="175">
        <v>1</v>
      </c>
      <c r="B55" s="193" t="s">
        <v>1553</v>
      </c>
      <c r="C55" s="193"/>
      <c r="D55" s="178">
        <v>4026</v>
      </c>
      <c r="E55" s="246">
        <v>112.6978</v>
      </c>
      <c r="F55" s="195">
        <v>225.49450000000002</v>
      </c>
      <c r="G55" s="192">
        <v>1454772.7288928819</v>
      </c>
      <c r="H55" s="192">
        <v>0</v>
      </c>
      <c r="I55" s="192">
        <v>13546.496013268617</v>
      </c>
      <c r="J55" s="192">
        <v>9645438.2053129114</v>
      </c>
      <c r="K55" s="192">
        <v>42660.601207532774</v>
      </c>
      <c r="L55" s="192">
        <v>11465681.461558273</v>
      </c>
      <c r="M55" s="192">
        <v>0</v>
      </c>
      <c r="N55" s="192">
        <v>0</v>
      </c>
      <c r="O55" s="192">
        <v>397593.23242103023</v>
      </c>
      <c r="P55" s="192">
        <v>23019692.725405898</v>
      </c>
    </row>
    <row r="56" spans="1:16" x14ac:dyDescent="0.25">
      <c r="A56" s="175">
        <v>1</v>
      </c>
      <c r="B56" s="193"/>
      <c r="C56" s="193"/>
      <c r="D56" s="178"/>
      <c r="E56" s="246"/>
      <c r="F56" s="230"/>
      <c r="G56" s="192"/>
      <c r="H56" s="192"/>
      <c r="I56" s="192"/>
      <c r="J56" s="192"/>
      <c r="K56" s="192"/>
      <c r="L56" s="192"/>
      <c r="M56" s="192"/>
      <c r="N56" s="192"/>
      <c r="O56" s="192"/>
      <c r="P56" s="192"/>
    </row>
    <row r="57" spans="1:16" x14ac:dyDescent="0.25">
      <c r="A57" s="175">
        <v>1</v>
      </c>
      <c r="B57" s="193" t="s">
        <v>1554</v>
      </c>
      <c r="C57" s="193"/>
      <c r="D57" s="178">
        <v>4026</v>
      </c>
      <c r="E57" s="246">
        <v>112.7967</v>
      </c>
      <c r="F57" s="195">
        <v>225.49450000000002</v>
      </c>
      <c r="G57" s="192">
        <v>1456049.391107118</v>
      </c>
      <c r="H57" s="192">
        <v>0</v>
      </c>
      <c r="I57" s="192">
        <v>13558.383986731384</v>
      </c>
      <c r="J57" s="192">
        <v>9653902.7346870899</v>
      </c>
      <c r="K57" s="192">
        <v>42698.038792467218</v>
      </c>
      <c r="L57" s="192">
        <v>11475743.378441727</v>
      </c>
      <c r="M57" s="192">
        <v>0</v>
      </c>
      <c r="N57" s="192">
        <v>0</v>
      </c>
      <c r="O57" s="192">
        <v>397942.14757896977</v>
      </c>
      <c r="P57" s="192">
        <v>23039894.074594103</v>
      </c>
    </row>
    <row r="58" spans="1:16" x14ac:dyDescent="0.25">
      <c r="A58" s="175">
        <v>1</v>
      </c>
      <c r="B58" s="193"/>
      <c r="C58" s="193"/>
      <c r="D58" s="178"/>
      <c r="E58" s="246"/>
      <c r="F58" s="230"/>
      <c r="G58" s="192"/>
      <c r="H58" s="192"/>
      <c r="I58" s="192"/>
      <c r="J58" s="192"/>
      <c r="K58" s="192"/>
      <c r="L58" s="192"/>
      <c r="M58" s="192"/>
      <c r="N58" s="192"/>
      <c r="O58" s="192"/>
      <c r="P58" s="192"/>
    </row>
    <row r="59" spans="1:16" x14ac:dyDescent="0.25">
      <c r="A59" s="175">
        <v>1</v>
      </c>
      <c r="B59" s="193" t="s">
        <v>1555</v>
      </c>
      <c r="C59" s="193"/>
      <c r="D59" s="178">
        <v>4155</v>
      </c>
      <c r="E59" s="616">
        <v>52.616400000000006</v>
      </c>
      <c r="F59" s="195">
        <v>52.616400000000006</v>
      </c>
      <c r="G59" s="192">
        <v>2956983.2199999997</v>
      </c>
      <c r="H59" s="192">
        <v>0</v>
      </c>
      <c r="I59" s="192">
        <v>0</v>
      </c>
      <c r="J59" s="192">
        <v>7540671.2400000002</v>
      </c>
      <c r="K59" s="192">
        <v>0</v>
      </c>
      <c r="L59" s="192">
        <v>4581493.1100000003</v>
      </c>
      <c r="M59" s="192">
        <v>0</v>
      </c>
      <c r="N59" s="192">
        <v>0</v>
      </c>
      <c r="O59" s="192">
        <v>187772.25</v>
      </c>
      <c r="P59" s="192">
        <v>15266919.82</v>
      </c>
    </row>
    <row r="60" spans="1:16" x14ac:dyDescent="0.25">
      <c r="A60" s="175">
        <v>1</v>
      </c>
      <c r="B60" s="193"/>
      <c r="C60" s="193"/>
      <c r="D60" s="178"/>
      <c r="E60" s="246"/>
      <c r="F60" s="230"/>
      <c r="G60" s="192"/>
      <c r="H60" s="192"/>
      <c r="I60" s="192"/>
      <c r="J60" s="192"/>
      <c r="K60" s="192"/>
      <c r="L60" s="192"/>
      <c r="M60" s="192"/>
      <c r="N60" s="192"/>
      <c r="O60" s="192"/>
      <c r="P60" s="192"/>
    </row>
    <row r="61" spans="1:16" x14ac:dyDescent="0.25">
      <c r="A61" s="175">
        <v>1</v>
      </c>
      <c r="B61" s="193" t="s">
        <v>1727</v>
      </c>
      <c r="C61" s="193"/>
      <c r="D61" s="198">
        <v>4148</v>
      </c>
      <c r="E61" s="616">
        <v>28.751200000000001</v>
      </c>
      <c r="F61" s="195">
        <v>28.751200000000001</v>
      </c>
      <c r="G61" s="192">
        <v>1696736.1200000003</v>
      </c>
      <c r="H61" s="192">
        <v>0</v>
      </c>
      <c r="I61" s="192">
        <v>0</v>
      </c>
      <c r="J61" s="192">
        <v>18384825.73</v>
      </c>
      <c r="K61" s="192">
        <v>0</v>
      </c>
      <c r="L61" s="192">
        <v>7820474.9200000009</v>
      </c>
      <c r="M61" s="192">
        <v>0</v>
      </c>
      <c r="N61" s="192">
        <v>0</v>
      </c>
      <c r="O61" s="192">
        <v>252983.4</v>
      </c>
      <c r="P61" s="192">
        <v>28155020.170000002</v>
      </c>
    </row>
    <row r="62" spans="1:16" x14ac:dyDescent="0.25">
      <c r="A62" s="175">
        <v>1</v>
      </c>
      <c r="B62" s="193"/>
      <c r="C62" s="193"/>
      <c r="D62" s="178"/>
      <c r="E62" s="228"/>
      <c r="F62" s="230"/>
      <c r="G62" s="192"/>
      <c r="H62" s="192"/>
      <c r="I62" s="192"/>
      <c r="J62" s="192"/>
      <c r="K62" s="192"/>
      <c r="L62" s="192"/>
      <c r="M62" s="192"/>
      <c r="N62" s="192"/>
      <c r="O62" s="192"/>
      <c r="P62" s="192"/>
    </row>
    <row r="63" spans="1:16" x14ac:dyDescent="0.25">
      <c r="A63" s="175">
        <v>1</v>
      </c>
      <c r="B63" s="193" t="s">
        <v>1556</v>
      </c>
      <c r="C63" s="193"/>
      <c r="D63" s="178">
        <v>4188</v>
      </c>
      <c r="E63" s="194">
        <v>40.520900000000005</v>
      </c>
      <c r="F63" s="195">
        <v>40.520900000000005</v>
      </c>
      <c r="G63" s="214">
        <v>2858639.23</v>
      </c>
      <c r="H63" s="214">
        <v>8043.4099999999989</v>
      </c>
      <c r="I63" s="214">
        <v>0</v>
      </c>
      <c r="J63" s="214">
        <v>22909118.48</v>
      </c>
      <c r="K63" s="214">
        <v>515652.76</v>
      </c>
      <c r="L63" s="214">
        <v>14833343.109999999</v>
      </c>
      <c r="M63" s="214">
        <v>0</v>
      </c>
      <c r="N63" s="214">
        <v>0</v>
      </c>
      <c r="O63" s="214">
        <v>2448260.13</v>
      </c>
      <c r="P63" s="214">
        <v>43573057.120000005</v>
      </c>
    </row>
    <row r="64" spans="1:16" x14ac:dyDescent="0.25">
      <c r="A64" s="175">
        <v>1</v>
      </c>
      <c r="B64" s="193"/>
      <c r="C64" s="193"/>
      <c r="D64" s="178"/>
      <c r="E64" s="194"/>
      <c r="F64" s="195"/>
      <c r="G64" s="214"/>
      <c r="H64" s="214"/>
      <c r="I64" s="214"/>
      <c r="J64" s="214"/>
      <c r="K64" s="214"/>
      <c r="L64" s="214"/>
      <c r="M64" s="214"/>
      <c r="N64" s="214"/>
      <c r="O64" s="214"/>
      <c r="P64" s="214"/>
    </row>
    <row r="65" spans="1:16" x14ac:dyDescent="0.25">
      <c r="A65" s="175">
        <v>1</v>
      </c>
      <c r="B65" s="193" t="s">
        <v>102</v>
      </c>
      <c r="C65" s="234"/>
      <c r="D65" s="178">
        <v>5069</v>
      </c>
      <c r="E65" s="232"/>
      <c r="F65" s="195"/>
      <c r="G65" s="214" t="s">
        <v>1776</v>
      </c>
      <c r="H65" s="214" t="s">
        <v>1776</v>
      </c>
      <c r="I65" s="214" t="s">
        <v>1776</v>
      </c>
      <c r="J65" s="214">
        <v>0</v>
      </c>
      <c r="K65" s="233">
        <v>98999.269362000006</v>
      </c>
      <c r="L65" s="233">
        <v>43265.205018000001</v>
      </c>
      <c r="M65" s="214">
        <v>0</v>
      </c>
      <c r="N65" s="214">
        <v>0</v>
      </c>
      <c r="O65" s="214">
        <v>0</v>
      </c>
      <c r="P65" s="214">
        <v>142264.47438</v>
      </c>
    </row>
    <row r="66" spans="1:16" x14ac:dyDescent="0.25">
      <c r="A66" s="217">
        <v>1</v>
      </c>
      <c r="B66" s="234"/>
      <c r="C66" s="234"/>
      <c r="D66" s="198"/>
      <c r="E66" s="232"/>
      <c r="F66" s="195"/>
      <c r="G66" s="233"/>
      <c r="H66" s="233"/>
      <c r="I66" s="233"/>
      <c r="J66" s="233"/>
      <c r="K66" s="233"/>
      <c r="L66" s="233"/>
      <c r="M66" s="233"/>
      <c r="N66" s="233"/>
      <c r="O66" s="233"/>
      <c r="P66" s="233"/>
    </row>
    <row r="67" spans="1:16" x14ac:dyDescent="0.25">
      <c r="A67" s="175">
        <v>1</v>
      </c>
      <c r="B67" s="193" t="s">
        <v>1728</v>
      </c>
      <c r="C67" s="193"/>
      <c r="D67" s="178">
        <v>5070</v>
      </c>
      <c r="E67" s="194"/>
      <c r="F67" s="195"/>
      <c r="G67" s="214" t="s">
        <v>1776</v>
      </c>
      <c r="H67" s="214" t="s">
        <v>1776</v>
      </c>
      <c r="I67" s="214" t="s">
        <v>1776</v>
      </c>
      <c r="J67" s="214">
        <v>0</v>
      </c>
      <c r="K67" s="214">
        <v>3571.6073759999999</v>
      </c>
      <c r="L67" s="214">
        <v>1753.9804959999999</v>
      </c>
      <c r="M67" s="214">
        <v>0</v>
      </c>
      <c r="N67" s="214">
        <v>0</v>
      </c>
      <c r="O67" s="214">
        <v>0</v>
      </c>
      <c r="P67" s="214">
        <v>5325.5878720000001</v>
      </c>
    </row>
    <row r="68" spans="1:16" x14ac:dyDescent="0.25">
      <c r="A68" s="175">
        <v>1</v>
      </c>
      <c r="B68" s="193"/>
      <c r="C68" s="193"/>
      <c r="D68" s="178"/>
      <c r="E68" s="194"/>
      <c r="F68" s="195"/>
      <c r="G68" s="214"/>
      <c r="H68" s="214"/>
      <c r="I68" s="214"/>
      <c r="J68" s="214"/>
      <c r="K68" s="214"/>
      <c r="L68" s="214"/>
      <c r="M68" s="214"/>
      <c r="N68" s="214"/>
      <c r="O68" s="214"/>
      <c r="P68" s="214"/>
    </row>
    <row r="69" spans="1:16" x14ac:dyDescent="0.25">
      <c r="A69" s="175">
        <v>1</v>
      </c>
      <c r="B69" s="193" t="s">
        <v>97</v>
      </c>
      <c r="C69" s="193"/>
      <c r="D69" s="178">
        <v>5080</v>
      </c>
      <c r="E69" s="194"/>
      <c r="F69" s="195"/>
      <c r="G69" s="214" t="s">
        <v>1776</v>
      </c>
      <c r="H69" s="214" t="s">
        <v>1776</v>
      </c>
      <c r="I69" s="214" t="s">
        <v>1776</v>
      </c>
      <c r="J69" s="214">
        <v>0</v>
      </c>
      <c r="K69" s="214">
        <v>0</v>
      </c>
      <c r="L69" s="214">
        <v>0</v>
      </c>
      <c r="M69" s="214">
        <v>0</v>
      </c>
      <c r="N69" s="214">
        <v>0</v>
      </c>
      <c r="O69" s="214">
        <v>2236589.73</v>
      </c>
      <c r="P69" s="214">
        <v>2236589.73</v>
      </c>
    </row>
    <row r="70" spans="1:16" x14ac:dyDescent="0.25">
      <c r="A70" s="175">
        <v>1</v>
      </c>
      <c r="B70" s="193"/>
      <c r="C70" s="193"/>
      <c r="D70" s="178"/>
      <c r="E70" s="194"/>
      <c r="F70" s="195"/>
      <c r="G70" s="214"/>
      <c r="H70" s="214"/>
      <c r="I70" s="214"/>
      <c r="J70" s="214"/>
      <c r="K70" s="214"/>
      <c r="L70" s="214"/>
      <c r="M70" s="214"/>
      <c r="N70" s="214"/>
      <c r="O70" s="214"/>
      <c r="P70" s="214"/>
    </row>
    <row r="71" spans="1:16" x14ac:dyDescent="0.25">
      <c r="A71" s="175">
        <v>1</v>
      </c>
      <c r="B71" s="193" t="s">
        <v>98</v>
      </c>
      <c r="C71" s="193"/>
      <c r="D71" s="178">
        <v>5090</v>
      </c>
      <c r="E71" s="194"/>
      <c r="F71" s="195"/>
      <c r="G71" s="214" t="s">
        <v>1776</v>
      </c>
      <c r="H71" s="214" t="s">
        <v>1776</v>
      </c>
      <c r="I71" s="214" t="s">
        <v>1776</v>
      </c>
      <c r="J71" s="214">
        <v>0</v>
      </c>
      <c r="K71" s="214">
        <v>0</v>
      </c>
      <c r="L71" s="214">
        <v>0</v>
      </c>
      <c r="M71" s="214">
        <v>0</v>
      </c>
      <c r="N71" s="214">
        <v>0</v>
      </c>
      <c r="O71" s="214">
        <v>92479.007216000013</v>
      </c>
      <c r="P71" s="214">
        <v>92479.007216000013</v>
      </c>
    </row>
    <row r="72" spans="1:16" x14ac:dyDescent="0.25">
      <c r="A72" s="175">
        <v>1</v>
      </c>
      <c r="B72" s="193"/>
      <c r="C72" s="193"/>
      <c r="D72" s="178"/>
      <c r="E72" s="194"/>
      <c r="F72" s="195"/>
      <c r="G72" s="214"/>
      <c r="H72" s="214"/>
      <c r="I72" s="214"/>
      <c r="J72" s="214"/>
      <c r="K72" s="214"/>
      <c r="L72" s="214"/>
      <c r="M72" s="214"/>
      <c r="N72" s="214"/>
      <c r="O72" s="214"/>
      <c r="P72" s="214"/>
    </row>
    <row r="73" spans="1:16" x14ac:dyDescent="0.25">
      <c r="A73" s="175">
        <v>1</v>
      </c>
      <c r="B73" s="193" t="s">
        <v>99</v>
      </c>
      <c r="C73" s="193"/>
      <c r="D73" s="178">
        <v>8958</v>
      </c>
      <c r="E73" s="194"/>
      <c r="F73" s="195"/>
      <c r="G73" s="214" t="s">
        <v>1776</v>
      </c>
      <c r="H73" s="214" t="s">
        <v>1776</v>
      </c>
      <c r="I73" s="214" t="s">
        <v>1776</v>
      </c>
      <c r="J73" s="214">
        <v>2505376.39</v>
      </c>
      <c r="K73" s="214">
        <v>0</v>
      </c>
      <c r="L73" s="214">
        <v>359913.49</v>
      </c>
      <c r="M73" s="214">
        <v>0</v>
      </c>
      <c r="N73" s="214">
        <v>0</v>
      </c>
      <c r="O73" s="214">
        <v>0</v>
      </c>
      <c r="P73" s="214">
        <v>2865289.88</v>
      </c>
    </row>
    <row r="74" spans="1:16" x14ac:dyDescent="0.25">
      <c r="A74" s="175">
        <v>1</v>
      </c>
      <c r="B74" s="235"/>
      <c r="C74" s="235"/>
      <c r="D74" s="229"/>
      <c r="E74" s="236"/>
      <c r="F74" s="237"/>
      <c r="G74" s="214"/>
      <c r="H74" s="214"/>
      <c r="I74" s="214"/>
      <c r="J74" s="214"/>
      <c r="K74" s="214"/>
      <c r="L74" s="214"/>
      <c r="M74" s="214"/>
      <c r="N74" s="214"/>
      <c r="O74" s="214"/>
      <c r="P74" s="214"/>
    </row>
    <row r="75" spans="1:16" ht="15.75" thickBot="1" x14ac:dyDescent="0.3">
      <c r="A75" s="175">
        <v>1</v>
      </c>
      <c r="B75" s="238"/>
      <c r="C75" s="202" t="s">
        <v>1557</v>
      </c>
      <c r="D75" s="203"/>
      <c r="E75" s="239">
        <v>1268.7991999999999</v>
      </c>
      <c r="F75" s="241">
        <v>1587.8605</v>
      </c>
      <c r="G75" s="242">
        <v>48565350.780000001</v>
      </c>
      <c r="H75" s="242">
        <v>8043.4099999999989</v>
      </c>
      <c r="I75" s="242">
        <v>43836.020000000004</v>
      </c>
      <c r="J75" s="242">
        <v>203732583.03999999</v>
      </c>
      <c r="K75" s="242">
        <v>2198574.6867380003</v>
      </c>
      <c r="L75" s="242">
        <v>160960853.89551398</v>
      </c>
      <c r="M75" s="242">
        <v>0</v>
      </c>
      <c r="N75" s="242">
        <v>1151660.45</v>
      </c>
      <c r="O75" s="242">
        <v>12726231.507215999</v>
      </c>
      <c r="P75" s="242">
        <v>429387133.78946793</v>
      </c>
    </row>
    <row r="76" spans="1:16" ht="15.75" thickTop="1" x14ac:dyDescent="0.25">
      <c r="A76" s="175">
        <v>1</v>
      </c>
      <c r="B76" s="217"/>
      <c r="C76" s="217"/>
      <c r="D76" s="218"/>
      <c r="E76" s="243"/>
      <c r="F76" s="221"/>
      <c r="G76" s="244"/>
      <c r="H76" s="244"/>
      <c r="I76" s="244"/>
      <c r="J76" s="244"/>
      <c r="K76" s="244"/>
      <c r="L76" s="244"/>
      <c r="M76" s="244"/>
      <c r="N76" s="244"/>
      <c r="O76" s="244"/>
      <c r="P76" s="244"/>
    </row>
    <row r="77" spans="1:16" x14ac:dyDescent="0.25">
      <c r="A77" s="175">
        <v>1</v>
      </c>
      <c r="B77" s="193"/>
      <c r="C77" s="176" t="s">
        <v>1558</v>
      </c>
      <c r="D77" s="245"/>
      <c r="E77" s="246"/>
      <c r="F77" s="230"/>
      <c r="G77" s="192"/>
      <c r="H77" s="192"/>
      <c r="I77" s="192"/>
      <c r="J77" s="192"/>
      <c r="K77" s="192"/>
      <c r="L77" s="192"/>
      <c r="M77" s="192"/>
      <c r="N77" s="192"/>
      <c r="O77" s="192"/>
      <c r="P77" s="192"/>
    </row>
    <row r="78" spans="1:16" x14ac:dyDescent="0.25">
      <c r="A78" s="175">
        <v>1</v>
      </c>
      <c r="B78" s="193"/>
      <c r="C78" s="176"/>
      <c r="D78" s="178"/>
      <c r="E78" s="246"/>
      <c r="F78" s="230"/>
      <c r="G78" s="192"/>
      <c r="H78" s="192"/>
      <c r="I78" s="192"/>
      <c r="J78" s="192"/>
      <c r="K78" s="192"/>
      <c r="L78" s="192"/>
      <c r="M78" s="192"/>
      <c r="N78" s="192"/>
      <c r="O78" s="192"/>
      <c r="P78" s="192"/>
    </row>
    <row r="79" spans="1:16" x14ac:dyDescent="0.25">
      <c r="A79" s="175">
        <v>1</v>
      </c>
      <c r="B79" s="193" t="s">
        <v>1559</v>
      </c>
      <c r="C79" s="193"/>
      <c r="D79" s="178">
        <v>4708</v>
      </c>
      <c r="E79" s="194">
        <v>25.7</v>
      </c>
      <c r="F79" s="195">
        <v>25.7</v>
      </c>
      <c r="G79" s="192">
        <v>0</v>
      </c>
      <c r="H79" s="192">
        <v>0</v>
      </c>
      <c r="I79" s="192">
        <v>0</v>
      </c>
      <c r="J79" s="192">
        <v>13746933.359999999</v>
      </c>
      <c r="K79" s="192">
        <v>30818084.089999996</v>
      </c>
      <c r="L79" s="192">
        <v>19251106.649999999</v>
      </c>
      <c r="M79" s="192">
        <v>0</v>
      </c>
      <c r="N79" s="192">
        <v>0</v>
      </c>
      <c r="O79" s="192">
        <v>0</v>
      </c>
      <c r="P79" s="192">
        <v>63816124.099999994</v>
      </c>
    </row>
    <row r="80" spans="1:16" x14ac:dyDescent="0.25">
      <c r="A80" s="175">
        <v>1</v>
      </c>
      <c r="B80" s="193"/>
      <c r="C80" s="193"/>
      <c r="D80" s="178"/>
      <c r="E80" s="194"/>
      <c r="F80" s="195"/>
      <c r="G80" s="192"/>
      <c r="H80" s="192"/>
      <c r="I80" s="192"/>
      <c r="J80" s="192"/>
      <c r="K80" s="192"/>
      <c r="L80" s="192"/>
      <c r="M80" s="192"/>
      <c r="N80" s="192"/>
      <c r="O80" s="192"/>
      <c r="P80" s="192"/>
    </row>
    <row r="81" spans="1:16" x14ac:dyDescent="0.25">
      <c r="A81" s="175">
        <v>1</v>
      </c>
      <c r="B81" s="193" t="s">
        <v>1560</v>
      </c>
      <c r="C81" s="193"/>
      <c r="D81" s="178">
        <v>4644</v>
      </c>
      <c r="E81" s="194">
        <v>26.39</v>
      </c>
      <c r="F81" s="195">
        <v>26.39</v>
      </c>
      <c r="G81" s="192">
        <v>0</v>
      </c>
      <c r="H81" s="192">
        <v>0</v>
      </c>
      <c r="I81" s="192">
        <v>0</v>
      </c>
      <c r="J81" s="192">
        <v>27679225.5</v>
      </c>
      <c r="K81" s="192">
        <v>2721999.3599999994</v>
      </c>
      <c r="L81" s="192">
        <v>13931303.82</v>
      </c>
      <c r="M81" s="192">
        <v>0</v>
      </c>
      <c r="N81" s="192">
        <v>0</v>
      </c>
      <c r="O81" s="192">
        <v>89385747.429999992</v>
      </c>
      <c r="P81" s="192">
        <v>133718276.10999998</v>
      </c>
    </row>
    <row r="82" spans="1:16" x14ac:dyDescent="0.25">
      <c r="A82" s="175">
        <v>1</v>
      </c>
      <c r="B82" s="247" t="s">
        <v>1729</v>
      </c>
      <c r="C82" s="193"/>
      <c r="D82" s="178"/>
      <c r="E82" s="194"/>
      <c r="F82" s="195"/>
      <c r="G82" s="192"/>
      <c r="H82" s="192"/>
      <c r="I82" s="192"/>
      <c r="J82" s="192"/>
      <c r="K82" s="192"/>
      <c r="L82" s="192"/>
      <c r="M82" s="192"/>
      <c r="N82" s="192"/>
      <c r="O82" s="192"/>
      <c r="P82" s="192"/>
    </row>
    <row r="83" spans="1:16" x14ac:dyDescent="0.25">
      <c r="A83" s="175">
        <v>1</v>
      </c>
      <c r="B83" s="247"/>
      <c r="C83" s="193"/>
      <c r="D83" s="178"/>
      <c r="E83" s="194"/>
      <c r="F83" s="195"/>
      <c r="G83" s="192"/>
      <c r="H83" s="192"/>
      <c r="I83" s="192"/>
      <c r="J83" s="192"/>
      <c r="K83" s="192"/>
      <c r="L83" s="192"/>
      <c r="M83" s="192"/>
      <c r="N83" s="192"/>
      <c r="O83" s="192"/>
      <c r="P83" s="192"/>
    </row>
    <row r="84" spans="1:16" x14ac:dyDescent="0.25">
      <c r="A84" s="175">
        <v>1</v>
      </c>
      <c r="B84" s="193" t="s">
        <v>1730</v>
      </c>
      <c r="C84" s="193"/>
      <c r="D84" s="178">
        <v>4120</v>
      </c>
      <c r="E84" s="246">
        <v>15.349600000000001</v>
      </c>
      <c r="F84" s="195">
        <v>124.6726</v>
      </c>
      <c r="G84" s="192">
        <v>525750.63015219057</v>
      </c>
      <c r="H84" s="192">
        <v>36707.995538329997</v>
      </c>
      <c r="I84" s="192">
        <v>416.14314612833937</v>
      </c>
      <c r="J84" s="192">
        <v>748380.89361851756</v>
      </c>
      <c r="K84" s="192">
        <v>108426.86375681584</v>
      </c>
      <c r="L84" s="192">
        <v>694196.22794288408</v>
      </c>
      <c r="M84" s="192">
        <v>31.527152493811791</v>
      </c>
      <c r="N84" s="192">
        <v>0</v>
      </c>
      <c r="O84" s="192">
        <v>4114.6572178971164</v>
      </c>
      <c r="P84" s="192">
        <v>2118024.9385252572</v>
      </c>
    </row>
    <row r="85" spans="1:16" x14ac:dyDescent="0.25">
      <c r="A85" s="175">
        <v>1</v>
      </c>
      <c r="B85" s="193"/>
      <c r="C85" s="193"/>
      <c r="D85" s="178"/>
      <c r="E85" s="246"/>
      <c r="F85" s="230"/>
      <c r="G85" s="192"/>
      <c r="H85" s="192"/>
      <c r="I85" s="192"/>
      <c r="J85" s="192"/>
      <c r="K85" s="192"/>
      <c r="L85" s="192"/>
      <c r="M85" s="192"/>
      <c r="N85" s="192"/>
      <c r="O85" s="192"/>
      <c r="P85" s="192"/>
    </row>
    <row r="86" spans="1:16" x14ac:dyDescent="0.25">
      <c r="A86" s="175">
        <v>1</v>
      </c>
      <c r="B86" s="193" t="s">
        <v>1561</v>
      </c>
      <c r="C86" s="193"/>
      <c r="D86" s="178">
        <v>4120</v>
      </c>
      <c r="E86" s="246">
        <v>15.3995</v>
      </c>
      <c r="F86" s="195">
        <v>124.6726</v>
      </c>
      <c r="G86" s="192">
        <v>527459.79237430671</v>
      </c>
      <c r="H86" s="192">
        <v>36827.329526014539</v>
      </c>
      <c r="I86" s="192">
        <v>417.49598548518276</v>
      </c>
      <c r="J86" s="192">
        <v>750813.80435179814</v>
      </c>
      <c r="K86" s="192">
        <v>108779.3485447885</v>
      </c>
      <c r="L86" s="192">
        <v>696452.98979819939</v>
      </c>
      <c r="M86" s="192">
        <v>31.629644083784246</v>
      </c>
      <c r="N86" s="192">
        <v>0</v>
      </c>
      <c r="O86" s="192">
        <v>4128.0335531223382</v>
      </c>
      <c r="P86" s="192">
        <v>2124910.4237777987</v>
      </c>
    </row>
    <row r="87" spans="1:16" x14ac:dyDescent="0.25">
      <c r="A87" s="175">
        <v>1</v>
      </c>
      <c r="B87" s="193"/>
      <c r="C87" s="193"/>
      <c r="D87" s="178"/>
      <c r="E87" s="246"/>
      <c r="F87" s="230"/>
      <c r="G87" s="192"/>
      <c r="H87" s="192"/>
      <c r="I87" s="192"/>
      <c r="J87" s="192"/>
      <c r="K87" s="192"/>
      <c r="L87" s="192"/>
      <c r="M87" s="192"/>
      <c r="N87" s="192"/>
      <c r="O87" s="192"/>
      <c r="P87" s="192"/>
    </row>
    <row r="88" spans="1:16" x14ac:dyDescent="0.25">
      <c r="A88" s="175">
        <v>1</v>
      </c>
      <c r="B88" s="193" t="s">
        <v>1562</v>
      </c>
      <c r="C88" s="193"/>
      <c r="D88" s="178">
        <v>4120</v>
      </c>
      <c r="E88" s="246">
        <v>11.4696</v>
      </c>
      <c r="F88" s="195">
        <v>124.6726</v>
      </c>
      <c r="G88" s="192">
        <v>392853.8481519756</v>
      </c>
      <c r="H88" s="192">
        <v>27429.120343620008</v>
      </c>
      <c r="I88" s="192">
        <v>310.95243060624387</v>
      </c>
      <c r="J88" s="192">
        <v>559208.67628126778</v>
      </c>
      <c r="K88" s="192">
        <v>81019.228940504967</v>
      </c>
      <c r="L88" s="192">
        <v>518720.55662777543</v>
      </c>
      <c r="M88" s="192">
        <v>23.557866540041672</v>
      </c>
      <c r="N88" s="192">
        <v>0</v>
      </c>
      <c r="O88" s="192">
        <v>3074.5734368578183</v>
      </c>
      <c r="P88" s="192">
        <v>1582640.5140791479</v>
      </c>
    </row>
    <row r="89" spans="1:16" x14ac:dyDescent="0.25">
      <c r="A89" s="175">
        <v>1</v>
      </c>
      <c r="B89" s="193"/>
      <c r="C89" s="193"/>
      <c r="D89" s="178"/>
      <c r="E89" s="246"/>
      <c r="F89" s="230"/>
      <c r="G89" s="192"/>
      <c r="H89" s="192"/>
      <c r="I89" s="192"/>
      <c r="J89" s="192"/>
      <c r="K89" s="192"/>
      <c r="L89" s="192"/>
      <c r="M89" s="192"/>
      <c r="N89" s="192"/>
      <c r="O89" s="192"/>
      <c r="P89" s="192"/>
    </row>
    <row r="90" spans="1:16" x14ac:dyDescent="0.25">
      <c r="A90" s="175">
        <v>1</v>
      </c>
      <c r="B90" s="193" t="s">
        <v>1563</v>
      </c>
      <c r="C90" s="193"/>
      <c r="D90" s="178">
        <v>4120</v>
      </c>
      <c r="E90" s="246">
        <v>11.837900000000001</v>
      </c>
      <c r="F90" s="195">
        <v>124.6726</v>
      </c>
      <c r="G90" s="192">
        <v>405468.76691761462</v>
      </c>
      <c r="H90" s="192">
        <v>28309.896048313745</v>
      </c>
      <c r="I90" s="192">
        <v>320.93741527809641</v>
      </c>
      <c r="J90" s="192">
        <v>577165.41021047125</v>
      </c>
      <c r="K90" s="192">
        <v>83620.83510103263</v>
      </c>
      <c r="L90" s="192">
        <v>535377.17769616586</v>
      </c>
      <c r="M90" s="192">
        <v>24.314332523746199</v>
      </c>
      <c r="N90" s="192">
        <v>0</v>
      </c>
      <c r="O90" s="192">
        <v>3173.3009772075025</v>
      </c>
      <c r="P90" s="192">
        <v>1633460.6386986077</v>
      </c>
    </row>
    <row r="91" spans="1:16" x14ac:dyDescent="0.25">
      <c r="A91" s="175">
        <v>1</v>
      </c>
      <c r="B91" s="193"/>
      <c r="C91" s="193"/>
      <c r="D91" s="178"/>
      <c r="E91" s="246"/>
      <c r="F91" s="230"/>
      <c r="G91" s="192"/>
      <c r="H91" s="192"/>
      <c r="I91" s="192"/>
      <c r="J91" s="192"/>
      <c r="K91" s="192"/>
      <c r="L91" s="192"/>
      <c r="M91" s="192"/>
      <c r="N91" s="192"/>
      <c r="O91" s="192"/>
      <c r="P91" s="192"/>
    </row>
    <row r="92" spans="1:16" x14ac:dyDescent="0.25">
      <c r="A92" s="175">
        <v>1</v>
      </c>
      <c r="B92" s="193" t="s">
        <v>1731</v>
      </c>
      <c r="C92" s="231"/>
      <c r="D92" s="198">
        <v>4712</v>
      </c>
      <c r="E92" s="616">
        <v>21.52</v>
      </c>
      <c r="F92" s="601">
        <v>21.52</v>
      </c>
      <c r="G92" s="192">
        <v>0</v>
      </c>
      <c r="H92" s="192">
        <v>0</v>
      </c>
      <c r="I92" s="192">
        <v>0</v>
      </c>
      <c r="J92" s="192">
        <v>90778824.769999981</v>
      </c>
      <c r="K92" s="192">
        <v>0</v>
      </c>
      <c r="L92" s="192">
        <v>9514634.9400000125</v>
      </c>
      <c r="M92" s="192">
        <v>0</v>
      </c>
      <c r="N92" s="192">
        <v>0</v>
      </c>
      <c r="O92" s="192">
        <v>2.0000000484287739E-2</v>
      </c>
      <c r="P92" s="248">
        <v>100293459.72999999</v>
      </c>
    </row>
    <row r="93" spans="1:16" x14ac:dyDescent="0.25">
      <c r="A93" s="175">
        <v>1</v>
      </c>
      <c r="B93" s="193"/>
      <c r="C93" s="193"/>
      <c r="D93" s="178"/>
      <c r="E93" s="246"/>
      <c r="F93" s="230"/>
      <c r="G93" s="192"/>
      <c r="H93" s="192"/>
      <c r="I93" s="192"/>
      <c r="J93" s="192"/>
      <c r="K93" s="192"/>
      <c r="L93" s="192"/>
      <c r="M93" s="192"/>
      <c r="N93" s="192"/>
      <c r="O93" s="192"/>
      <c r="P93" s="192"/>
    </row>
    <row r="94" spans="1:16" x14ac:dyDescent="0.25">
      <c r="A94" s="175">
        <v>1</v>
      </c>
      <c r="B94" s="193" t="s">
        <v>1564</v>
      </c>
      <c r="C94" s="193"/>
      <c r="D94" s="178">
        <v>4107</v>
      </c>
      <c r="E94" s="246">
        <v>59.250900000000001</v>
      </c>
      <c r="F94" s="601">
        <v>270.78870000000006</v>
      </c>
      <c r="G94" s="192">
        <v>577577.2354559513</v>
      </c>
      <c r="H94" s="248">
        <v>71436.191955842311</v>
      </c>
      <c r="I94" s="192">
        <v>0</v>
      </c>
      <c r="J94" s="192">
        <v>1944873.534316316</v>
      </c>
      <c r="K94" s="192">
        <v>0</v>
      </c>
      <c r="L94" s="192">
        <v>1490900.1708938635</v>
      </c>
      <c r="M94" s="192">
        <v>0</v>
      </c>
      <c r="N94" s="192">
        <v>0</v>
      </c>
      <c r="O94" s="192">
        <v>183021.6661153695</v>
      </c>
      <c r="P94" s="192">
        <v>4267808.7987373425</v>
      </c>
    </row>
    <row r="95" spans="1:16" x14ac:dyDescent="0.25">
      <c r="A95" s="175">
        <v>1</v>
      </c>
      <c r="B95" s="193"/>
      <c r="C95" s="193"/>
      <c r="D95" s="178"/>
      <c r="E95" s="246"/>
      <c r="F95" s="230"/>
      <c r="G95" s="192"/>
      <c r="H95" s="248"/>
      <c r="I95" s="192"/>
      <c r="J95" s="192"/>
      <c r="K95" s="192"/>
      <c r="L95" s="192"/>
      <c r="M95" s="192"/>
      <c r="N95" s="192"/>
      <c r="O95" s="192"/>
      <c r="P95" s="192"/>
    </row>
    <row r="96" spans="1:16" x14ac:dyDescent="0.25">
      <c r="A96" s="175">
        <v>1</v>
      </c>
      <c r="B96" s="193" t="s">
        <v>1565</v>
      </c>
      <c r="C96" s="193"/>
      <c r="D96" s="178">
        <v>4107</v>
      </c>
      <c r="E96" s="246">
        <v>59.268299999999996</v>
      </c>
      <c r="F96" s="601">
        <v>270.78870000000006</v>
      </c>
      <c r="G96" s="192">
        <v>577746.85049803392</v>
      </c>
      <c r="H96" s="248">
        <v>71457.170366972467</v>
      </c>
      <c r="I96" s="192">
        <v>0</v>
      </c>
      <c r="J96" s="192">
        <v>1945444.6783748381</v>
      </c>
      <c r="K96" s="192">
        <v>0</v>
      </c>
      <c r="L96" s="192">
        <v>1491337.998217559</v>
      </c>
      <c r="M96" s="192">
        <v>0</v>
      </c>
      <c r="N96" s="192">
        <v>0</v>
      </c>
      <c r="O96" s="192">
        <v>183075.41343381372</v>
      </c>
      <c r="P96" s="192">
        <v>4269062.1108912174</v>
      </c>
    </row>
    <row r="97" spans="1:16" x14ac:dyDescent="0.25">
      <c r="A97" s="175">
        <v>1</v>
      </c>
      <c r="B97" s="193"/>
      <c r="C97" s="193"/>
      <c r="D97" s="178"/>
      <c r="E97" s="246"/>
      <c r="F97" s="230"/>
      <c r="G97" s="192"/>
      <c r="H97" s="248"/>
      <c r="I97" s="192"/>
      <c r="J97" s="192"/>
      <c r="K97" s="192"/>
      <c r="L97" s="192"/>
      <c r="M97" s="192"/>
      <c r="N97" s="192"/>
      <c r="O97" s="192"/>
      <c r="P97" s="192"/>
    </row>
    <row r="98" spans="1:16" s="130" customFormat="1" x14ac:dyDescent="0.25">
      <c r="A98" s="217">
        <v>1</v>
      </c>
      <c r="B98" s="193" t="s">
        <v>1732</v>
      </c>
      <c r="C98" s="193"/>
      <c r="D98" s="198">
        <v>4107</v>
      </c>
      <c r="E98" s="246">
        <v>60.4437</v>
      </c>
      <c r="F98" s="601">
        <v>270.78870000000006</v>
      </c>
      <c r="G98" s="248">
        <v>589204.63903044316</v>
      </c>
      <c r="H98" s="248">
        <v>72874.298208488748</v>
      </c>
      <c r="I98" s="248">
        <v>0</v>
      </c>
      <c r="J98" s="248">
        <v>1984026.4442591607</v>
      </c>
      <c r="K98" s="248">
        <v>0</v>
      </c>
      <c r="L98" s="248">
        <v>1520913.9888078901</v>
      </c>
      <c r="M98" s="248">
        <v>0</v>
      </c>
      <c r="N98" s="248">
        <v>0</v>
      </c>
      <c r="O98" s="248">
        <v>186706.13746251212</v>
      </c>
      <c r="P98" s="248">
        <v>4353725.507768495</v>
      </c>
    </row>
    <row r="99" spans="1:16" x14ac:dyDescent="0.25">
      <c r="A99" s="175">
        <v>1</v>
      </c>
      <c r="B99" s="193"/>
      <c r="C99" s="193"/>
      <c r="D99" s="178"/>
      <c r="E99" s="246"/>
      <c r="F99" s="230"/>
      <c r="G99" s="192"/>
      <c r="H99" s="248"/>
      <c r="I99" s="192"/>
      <c r="J99" s="192"/>
      <c r="K99" s="192"/>
      <c r="L99" s="192"/>
      <c r="M99" s="192"/>
      <c r="N99" s="192"/>
      <c r="O99" s="192"/>
      <c r="P99" s="192"/>
    </row>
    <row r="100" spans="1:16" x14ac:dyDescent="0.25">
      <c r="A100" s="175">
        <v>1</v>
      </c>
      <c r="B100" s="193" t="s">
        <v>1566</v>
      </c>
      <c r="C100" s="193"/>
      <c r="D100" s="178">
        <v>4101</v>
      </c>
      <c r="E100" s="246">
        <v>26.900299999999998</v>
      </c>
      <c r="F100" s="195">
        <v>354.28050000000002</v>
      </c>
      <c r="G100" s="192">
        <v>110761.68390525867</v>
      </c>
      <c r="H100" s="192">
        <v>21122.138445116223</v>
      </c>
      <c r="I100" s="192">
        <v>7477.1301085919204</v>
      </c>
      <c r="J100" s="192">
        <v>1693232.9019779891</v>
      </c>
      <c r="K100" s="192">
        <v>104938.50230022818</v>
      </c>
      <c r="L100" s="192">
        <v>2311537.4514147965</v>
      </c>
      <c r="M100" s="192">
        <v>0</v>
      </c>
      <c r="N100" s="192">
        <v>0</v>
      </c>
      <c r="O100" s="192">
        <v>88631.509240844462</v>
      </c>
      <c r="P100" s="192">
        <v>4337701.3173928251</v>
      </c>
    </row>
    <row r="101" spans="1:16" x14ac:dyDescent="0.25">
      <c r="A101" s="175">
        <v>1</v>
      </c>
      <c r="B101" s="193"/>
      <c r="C101" s="193"/>
      <c r="D101" s="178"/>
      <c r="E101" s="246"/>
      <c r="F101" s="230"/>
      <c r="G101" s="192"/>
      <c r="H101" s="192"/>
      <c r="I101" s="192"/>
      <c r="J101" s="192"/>
      <c r="K101" s="192"/>
      <c r="L101" s="192"/>
      <c r="M101" s="192"/>
      <c r="N101" s="192"/>
      <c r="O101" s="192"/>
      <c r="P101" s="192"/>
    </row>
    <row r="102" spans="1:16" x14ac:dyDescent="0.25">
      <c r="A102" s="175">
        <v>1</v>
      </c>
      <c r="B102" s="193" t="s">
        <v>1567</v>
      </c>
      <c r="C102" s="193"/>
      <c r="D102" s="178">
        <v>4101</v>
      </c>
      <c r="E102" s="246">
        <v>12.3979</v>
      </c>
      <c r="F102" s="195">
        <v>354.28050000000002</v>
      </c>
      <c r="G102" s="192">
        <v>51048.214365230371</v>
      </c>
      <c r="H102" s="192">
        <v>9734.8416273687071</v>
      </c>
      <c r="I102" s="192">
        <v>3446.0846672086104</v>
      </c>
      <c r="J102" s="192">
        <v>780382.82827451418</v>
      </c>
      <c r="K102" s="192">
        <v>48364.40700170627</v>
      </c>
      <c r="L102" s="192">
        <v>1065349.0916047595</v>
      </c>
      <c r="M102" s="192">
        <v>0</v>
      </c>
      <c r="N102" s="192">
        <v>0</v>
      </c>
      <c r="O102" s="192">
        <v>40848.785642430215</v>
      </c>
      <c r="P102" s="192">
        <v>1999174.2531832177</v>
      </c>
    </row>
    <row r="103" spans="1:16" x14ac:dyDescent="0.25">
      <c r="A103" s="175">
        <v>1</v>
      </c>
      <c r="B103" s="193"/>
      <c r="C103" s="193"/>
      <c r="D103" s="178"/>
      <c r="E103" s="246"/>
      <c r="F103" s="230"/>
      <c r="G103" s="192"/>
      <c r="H103" s="192"/>
      <c r="I103" s="192"/>
      <c r="J103" s="192"/>
      <c r="K103" s="192"/>
      <c r="L103" s="192"/>
      <c r="M103" s="192"/>
      <c r="N103" s="192"/>
      <c r="O103" s="192"/>
      <c r="P103" s="192"/>
    </row>
    <row r="104" spans="1:16" x14ac:dyDescent="0.25">
      <c r="A104" s="175">
        <v>1</v>
      </c>
      <c r="B104" s="193" t="s">
        <v>1568</v>
      </c>
      <c r="C104" s="193"/>
      <c r="D104" s="178">
        <v>4120</v>
      </c>
      <c r="E104" s="246">
        <v>12.727</v>
      </c>
      <c r="F104" s="195">
        <v>124.6726</v>
      </c>
      <c r="G104" s="192">
        <v>435921.99600946798</v>
      </c>
      <c r="H104" s="192">
        <v>30436.145516256176</v>
      </c>
      <c r="I104" s="192">
        <v>345.04181351796626</v>
      </c>
      <c r="J104" s="192">
        <v>620514.12630184973</v>
      </c>
      <c r="K104" s="192">
        <v>89901.280491543439</v>
      </c>
      <c r="L104" s="192">
        <v>575587.33732664597</v>
      </c>
      <c r="M104" s="192">
        <v>26.140490292173261</v>
      </c>
      <c r="N104" s="192">
        <v>0</v>
      </c>
      <c r="O104" s="192">
        <v>3411.635639506997</v>
      </c>
      <c r="P104" s="192">
        <v>1756143.7035890806</v>
      </c>
    </row>
    <row r="105" spans="1:16" x14ac:dyDescent="0.25">
      <c r="A105" s="175">
        <v>1</v>
      </c>
      <c r="B105" s="193"/>
      <c r="C105" s="193"/>
      <c r="D105" s="178"/>
      <c r="E105" s="246"/>
      <c r="F105" s="230"/>
      <c r="G105" s="192"/>
      <c r="H105" s="192"/>
      <c r="I105" s="192"/>
      <c r="J105" s="192"/>
      <c r="K105" s="192"/>
      <c r="L105" s="192"/>
      <c r="M105" s="192"/>
      <c r="N105" s="192"/>
      <c r="O105" s="192"/>
      <c r="P105" s="192"/>
    </row>
    <row r="106" spans="1:16" x14ac:dyDescent="0.25">
      <c r="A106" s="175">
        <v>1</v>
      </c>
      <c r="B106" s="193" t="s">
        <v>1569</v>
      </c>
      <c r="C106" s="193"/>
      <c r="D106" s="178">
        <v>4118</v>
      </c>
      <c r="E106" s="246">
        <v>5.0153999999999996</v>
      </c>
      <c r="F106" s="195">
        <v>155.75350000000003</v>
      </c>
      <c r="G106" s="192">
        <v>177667.77335968282</v>
      </c>
      <c r="H106" s="192">
        <v>4222.6276321379801</v>
      </c>
      <c r="I106" s="192">
        <v>70.980879291556533</v>
      </c>
      <c r="J106" s="192">
        <v>562343.16382270108</v>
      </c>
      <c r="K106" s="192">
        <v>7703.0691014316635</v>
      </c>
      <c r="L106" s="192">
        <v>455339.49991247157</v>
      </c>
      <c r="M106" s="192">
        <v>0</v>
      </c>
      <c r="N106" s="192">
        <v>0</v>
      </c>
      <c r="O106" s="192">
        <v>5929.0336638901745</v>
      </c>
      <c r="P106" s="192">
        <v>1213276.1483716066</v>
      </c>
    </row>
    <row r="107" spans="1:16" x14ac:dyDescent="0.25">
      <c r="A107" s="175">
        <v>1</v>
      </c>
      <c r="B107" s="193"/>
      <c r="C107" s="193"/>
      <c r="D107" s="178"/>
      <c r="E107" s="246"/>
      <c r="F107" s="230"/>
      <c r="G107" s="192"/>
      <c r="H107" s="192"/>
      <c r="I107" s="192"/>
      <c r="J107" s="192"/>
      <c r="K107" s="192"/>
      <c r="L107" s="192"/>
      <c r="M107" s="192"/>
      <c r="N107" s="192"/>
      <c r="O107" s="192"/>
      <c r="P107" s="192"/>
    </row>
    <row r="108" spans="1:16" x14ac:dyDescent="0.25">
      <c r="A108" s="175">
        <v>1</v>
      </c>
      <c r="B108" s="193" t="s">
        <v>1570</v>
      </c>
      <c r="C108" s="193"/>
      <c r="D108" s="178">
        <v>4118</v>
      </c>
      <c r="E108" s="246">
        <v>8.9922000000000004</v>
      </c>
      <c r="F108" s="195">
        <v>155.75350000000003</v>
      </c>
      <c r="G108" s="192">
        <v>318543.71567670378</v>
      </c>
      <c r="H108" s="192">
        <v>7570.8242998985424</v>
      </c>
      <c r="I108" s="192">
        <v>127.26288287385545</v>
      </c>
      <c r="J108" s="192">
        <v>1008235.0755127195</v>
      </c>
      <c r="K108" s="192">
        <v>13810.969807770829</v>
      </c>
      <c r="L108" s="192">
        <v>816386.30041730008</v>
      </c>
      <c r="M108" s="192">
        <v>0</v>
      </c>
      <c r="N108" s="192">
        <v>0</v>
      </c>
      <c r="O108" s="192">
        <v>10630.270070668987</v>
      </c>
      <c r="P108" s="192">
        <v>2175304.4186679353</v>
      </c>
    </row>
    <row r="109" spans="1:16" x14ac:dyDescent="0.25">
      <c r="A109" s="175">
        <v>1</v>
      </c>
      <c r="B109" s="193"/>
      <c r="C109" s="193"/>
      <c r="D109" s="178"/>
      <c r="E109" s="246"/>
      <c r="F109" s="230"/>
      <c r="G109" s="192"/>
      <c r="H109" s="192"/>
      <c r="I109" s="192"/>
      <c r="J109" s="192"/>
      <c r="K109" s="192"/>
      <c r="L109" s="192"/>
      <c r="M109" s="192"/>
      <c r="N109" s="192"/>
      <c r="O109" s="192"/>
      <c r="P109" s="192"/>
    </row>
    <row r="110" spans="1:16" x14ac:dyDescent="0.25">
      <c r="A110" s="175">
        <v>1</v>
      </c>
      <c r="B110" s="193" t="s">
        <v>1571</v>
      </c>
      <c r="C110" s="193"/>
      <c r="D110" s="178">
        <v>4169</v>
      </c>
      <c r="E110" s="246">
        <v>4.4926000000000004</v>
      </c>
      <c r="F110" s="195">
        <v>297.62279999999993</v>
      </c>
      <c r="G110" s="192">
        <v>53819.250195018678</v>
      </c>
      <c r="H110" s="192">
        <v>0</v>
      </c>
      <c r="I110" s="192">
        <v>40.776882470025832</v>
      </c>
      <c r="J110" s="192">
        <v>131703.47942628726</v>
      </c>
      <c r="K110" s="192">
        <v>6014.5169538422479</v>
      </c>
      <c r="L110" s="192">
        <v>91564.997380415778</v>
      </c>
      <c r="M110" s="192">
        <v>0</v>
      </c>
      <c r="N110" s="192">
        <v>0</v>
      </c>
      <c r="O110" s="192">
        <v>1602.3595798305778</v>
      </c>
      <c r="P110" s="192">
        <v>284745.3804178646</v>
      </c>
    </row>
    <row r="111" spans="1:16" x14ac:dyDescent="0.25">
      <c r="A111" s="175">
        <v>1</v>
      </c>
      <c r="B111" s="193"/>
      <c r="C111" s="193"/>
      <c r="D111" s="178"/>
      <c r="E111" s="246"/>
      <c r="F111" s="230"/>
      <c r="G111" s="192"/>
      <c r="H111" s="192"/>
      <c r="I111" s="192"/>
      <c r="J111" s="192"/>
      <c r="K111" s="192"/>
      <c r="L111" s="192"/>
      <c r="M111" s="192"/>
      <c r="N111" s="192"/>
      <c r="O111" s="192"/>
      <c r="P111" s="192"/>
    </row>
    <row r="112" spans="1:16" x14ac:dyDescent="0.25">
      <c r="A112" s="175">
        <v>1</v>
      </c>
      <c r="B112" s="193" t="s">
        <v>1572</v>
      </c>
      <c r="C112" s="193"/>
      <c r="D112" s="178">
        <v>4169</v>
      </c>
      <c r="E112" s="246">
        <v>74.349599999999995</v>
      </c>
      <c r="F112" s="195">
        <v>297.62279999999993</v>
      </c>
      <c r="G112" s="192">
        <v>890673.49069571297</v>
      </c>
      <c r="H112" s="192">
        <v>0</v>
      </c>
      <c r="I112" s="192">
        <v>674.83081086529671</v>
      </c>
      <c r="J112" s="192">
        <v>2179606.6896569217</v>
      </c>
      <c r="K112" s="192">
        <v>99536.333016825345</v>
      </c>
      <c r="L112" s="192">
        <v>1515340.9894570983</v>
      </c>
      <c r="M112" s="192">
        <v>0</v>
      </c>
      <c r="N112" s="192">
        <v>0</v>
      </c>
      <c r="O112" s="192">
        <v>26518.006013571547</v>
      </c>
      <c r="P112" s="192">
        <v>4712350.3396509951</v>
      </c>
    </row>
    <row r="113" spans="1:16" x14ac:dyDescent="0.25">
      <c r="A113" s="175">
        <v>1</v>
      </c>
      <c r="B113" s="193"/>
      <c r="C113" s="193"/>
      <c r="D113" s="178"/>
      <c r="E113" s="246"/>
      <c r="F113" s="230"/>
      <c r="G113" s="192"/>
      <c r="H113" s="192"/>
      <c r="I113" s="192"/>
      <c r="J113" s="192"/>
      <c r="K113" s="192"/>
      <c r="L113" s="192"/>
      <c r="M113" s="192"/>
      <c r="N113" s="192"/>
      <c r="O113" s="192"/>
      <c r="P113" s="192"/>
    </row>
    <row r="114" spans="1:16" x14ac:dyDescent="0.25">
      <c r="A114" s="175">
        <v>1</v>
      </c>
      <c r="B114" s="193" t="s">
        <v>1573</v>
      </c>
      <c r="C114" s="193"/>
      <c r="D114" s="178">
        <v>4169</v>
      </c>
      <c r="E114" s="246">
        <v>7.4074</v>
      </c>
      <c r="F114" s="195">
        <v>297.62279999999993</v>
      </c>
      <c r="G114" s="192">
        <v>88737.193138623814</v>
      </c>
      <c r="H114" s="192">
        <v>0</v>
      </c>
      <c r="I114" s="192">
        <v>67.232933982208365</v>
      </c>
      <c r="J114" s="192">
        <v>217152.72971158801</v>
      </c>
      <c r="K114" s="192">
        <v>9916.7370529072396</v>
      </c>
      <c r="L114" s="192">
        <v>150972.3905078778</v>
      </c>
      <c r="M114" s="192">
        <v>0</v>
      </c>
      <c r="N114" s="192">
        <v>0</v>
      </c>
      <c r="O114" s="192">
        <v>2641.9708746910524</v>
      </c>
      <c r="P114" s="192">
        <v>469488.25421967008</v>
      </c>
    </row>
    <row r="115" spans="1:16" x14ac:dyDescent="0.25">
      <c r="A115" s="175">
        <v>1</v>
      </c>
      <c r="B115" s="193"/>
      <c r="C115" s="193"/>
      <c r="D115" s="178"/>
      <c r="E115" s="246"/>
      <c r="F115" s="230"/>
      <c r="G115" s="192"/>
      <c r="H115" s="192"/>
      <c r="I115" s="192"/>
      <c r="J115" s="192"/>
      <c r="K115" s="192"/>
      <c r="L115" s="192"/>
      <c r="M115" s="192"/>
      <c r="N115" s="192"/>
      <c r="O115" s="192"/>
      <c r="P115" s="192"/>
    </row>
    <row r="116" spans="1:16" x14ac:dyDescent="0.25">
      <c r="A116" s="175">
        <v>1</v>
      </c>
      <c r="B116" s="193" t="s">
        <v>1574</v>
      </c>
      <c r="C116" s="193"/>
      <c r="D116" s="178">
        <v>4166</v>
      </c>
      <c r="E116" s="246">
        <v>1.7038</v>
      </c>
      <c r="F116" s="195">
        <v>9.0272000000000006</v>
      </c>
      <c r="G116" s="192">
        <v>1705.1570455955334</v>
      </c>
      <c r="H116" s="192">
        <v>0</v>
      </c>
      <c r="I116" s="192">
        <v>0</v>
      </c>
      <c r="J116" s="192">
        <v>30963.024224565754</v>
      </c>
      <c r="K116" s="192">
        <v>0</v>
      </c>
      <c r="L116" s="192">
        <v>25750.021333746896</v>
      </c>
      <c r="M116" s="192">
        <v>0</v>
      </c>
      <c r="N116" s="192">
        <v>0</v>
      </c>
      <c r="O116" s="192">
        <v>0</v>
      </c>
      <c r="P116" s="192">
        <v>58418.202603908183</v>
      </c>
    </row>
    <row r="117" spans="1:16" x14ac:dyDescent="0.25">
      <c r="A117" s="175">
        <v>1</v>
      </c>
      <c r="B117" s="193"/>
      <c r="C117" s="193"/>
      <c r="D117" s="178"/>
      <c r="E117" s="246"/>
      <c r="F117" s="230"/>
      <c r="G117" s="192"/>
      <c r="H117" s="192"/>
      <c r="I117" s="192"/>
      <c r="J117" s="192"/>
      <c r="K117" s="192"/>
      <c r="L117" s="192"/>
      <c r="M117" s="192"/>
      <c r="N117" s="192"/>
      <c r="O117" s="192"/>
      <c r="P117" s="192"/>
    </row>
    <row r="118" spans="1:16" x14ac:dyDescent="0.25">
      <c r="A118" s="175">
        <v>1</v>
      </c>
      <c r="B118" s="193" t="s">
        <v>1575</v>
      </c>
      <c r="C118" s="193"/>
      <c r="D118" s="178">
        <v>4111</v>
      </c>
      <c r="E118" s="246">
        <v>5.7906000000000004</v>
      </c>
      <c r="F118" s="195">
        <v>5.7905999999999995</v>
      </c>
      <c r="G118" s="192">
        <v>1943.6300000000006</v>
      </c>
      <c r="H118" s="192">
        <v>0</v>
      </c>
      <c r="I118" s="192">
        <v>0</v>
      </c>
      <c r="J118" s="192">
        <v>133733.62000000002</v>
      </c>
      <c r="K118" s="192">
        <v>0</v>
      </c>
      <c r="L118" s="192">
        <v>155709.53000000003</v>
      </c>
      <c r="M118" s="192">
        <v>0</v>
      </c>
      <c r="N118" s="192">
        <v>0</v>
      </c>
      <c r="O118" s="192">
        <v>29428.590000000004</v>
      </c>
      <c r="P118" s="192">
        <v>320815.37000000005</v>
      </c>
    </row>
    <row r="119" spans="1:16" x14ac:dyDescent="0.25">
      <c r="A119" s="175">
        <v>1</v>
      </c>
      <c r="B119" s="193"/>
      <c r="C119" s="193"/>
      <c r="D119" s="178"/>
      <c r="E119" s="246"/>
      <c r="F119" s="230"/>
      <c r="G119" s="192"/>
      <c r="H119" s="192"/>
      <c r="I119" s="192"/>
      <c r="J119" s="192"/>
      <c r="K119" s="192"/>
      <c r="L119" s="192"/>
      <c r="M119" s="192"/>
      <c r="N119" s="192"/>
      <c r="O119" s="192"/>
      <c r="P119" s="192"/>
    </row>
    <row r="120" spans="1:16" x14ac:dyDescent="0.25">
      <c r="A120" s="175">
        <v>1</v>
      </c>
      <c r="B120" s="193" t="s">
        <v>1576</v>
      </c>
      <c r="C120" s="193"/>
      <c r="D120" s="178">
        <v>4166</v>
      </c>
      <c r="E120" s="246">
        <v>7.3234000000000004</v>
      </c>
      <c r="F120" s="195">
        <v>9.0272000000000006</v>
      </c>
      <c r="G120" s="192">
        <v>7329.232954404466</v>
      </c>
      <c r="H120" s="192">
        <v>0</v>
      </c>
      <c r="I120" s="192">
        <v>0</v>
      </c>
      <c r="J120" s="192">
        <v>133087.57577543426</v>
      </c>
      <c r="K120" s="192">
        <v>0</v>
      </c>
      <c r="L120" s="192">
        <v>110680.65866625309</v>
      </c>
      <c r="M120" s="192">
        <v>0</v>
      </c>
      <c r="N120" s="192">
        <v>0</v>
      </c>
      <c r="O120" s="192">
        <v>0</v>
      </c>
      <c r="P120" s="192">
        <v>251097.46739609182</v>
      </c>
    </row>
    <row r="121" spans="1:16" x14ac:dyDescent="0.25">
      <c r="A121" s="175">
        <v>1</v>
      </c>
      <c r="B121" s="193"/>
      <c r="C121" s="193"/>
      <c r="D121" s="178"/>
      <c r="E121" s="246"/>
      <c r="F121" s="230"/>
      <c r="G121" s="192"/>
      <c r="H121" s="192"/>
      <c r="I121" s="192"/>
      <c r="J121" s="192"/>
      <c r="K121" s="192"/>
      <c r="L121" s="192"/>
      <c r="M121" s="192"/>
      <c r="N121" s="192"/>
      <c r="O121" s="192"/>
      <c r="P121" s="192"/>
    </row>
    <row r="122" spans="1:16" x14ac:dyDescent="0.25">
      <c r="A122" s="175">
        <v>1</v>
      </c>
      <c r="B122" s="193" t="s">
        <v>1577</v>
      </c>
      <c r="C122" s="193"/>
      <c r="D122" s="178">
        <v>4169</v>
      </c>
      <c r="E122" s="246">
        <v>64.335899999999995</v>
      </c>
      <c r="F122" s="195">
        <v>297.62279999999993</v>
      </c>
      <c r="G122" s="192">
        <v>770714.04056041082</v>
      </c>
      <c r="H122" s="192">
        <v>0</v>
      </c>
      <c r="I122" s="192">
        <v>583.94191178901633</v>
      </c>
      <c r="J122" s="192">
        <v>1886048.5870145736</v>
      </c>
      <c r="K122" s="192">
        <v>86130.383584271782</v>
      </c>
      <c r="L122" s="192">
        <v>1311248.8347430641</v>
      </c>
      <c r="M122" s="192">
        <v>0</v>
      </c>
      <c r="N122" s="192">
        <v>0</v>
      </c>
      <c r="O122" s="192">
        <v>22946.455436055305</v>
      </c>
      <c r="P122" s="192">
        <v>4077672.2432501647</v>
      </c>
    </row>
    <row r="123" spans="1:16" x14ac:dyDescent="0.25">
      <c r="A123" s="175">
        <v>1</v>
      </c>
      <c r="B123" s="193"/>
      <c r="C123" s="193"/>
      <c r="D123" s="178"/>
      <c r="E123" s="246"/>
      <c r="F123" s="230"/>
      <c r="G123" s="192"/>
      <c r="H123" s="192"/>
      <c r="I123" s="192"/>
      <c r="J123" s="192"/>
      <c r="K123" s="192"/>
      <c r="L123" s="192"/>
      <c r="M123" s="192"/>
      <c r="N123" s="192"/>
      <c r="O123" s="192"/>
      <c r="P123" s="192"/>
    </row>
    <row r="124" spans="1:16" x14ac:dyDescent="0.25">
      <c r="A124" s="175">
        <v>1</v>
      </c>
      <c r="B124" s="193" t="s">
        <v>1578</v>
      </c>
      <c r="C124" s="193"/>
      <c r="D124" s="178">
        <v>4113</v>
      </c>
      <c r="E124" s="246">
        <v>76.699200000000005</v>
      </c>
      <c r="F124" s="195">
        <v>129.55309999999997</v>
      </c>
      <c r="G124" s="192">
        <v>517949.47600352298</v>
      </c>
      <c r="H124" s="192">
        <v>0</v>
      </c>
      <c r="I124" s="192">
        <v>0</v>
      </c>
      <c r="J124" s="192">
        <v>1090070.996335804</v>
      </c>
      <c r="K124" s="192">
        <v>122063.6280046406</v>
      </c>
      <c r="L124" s="192">
        <v>1273128.4123162474</v>
      </c>
      <c r="M124" s="192">
        <v>0</v>
      </c>
      <c r="N124" s="192">
        <v>0</v>
      </c>
      <c r="O124" s="192">
        <v>373580.90451498277</v>
      </c>
      <c r="P124" s="192">
        <v>3376793.4171751975</v>
      </c>
    </row>
    <row r="125" spans="1:16" x14ac:dyDescent="0.25">
      <c r="A125" s="175">
        <v>1</v>
      </c>
      <c r="B125" s="193"/>
      <c r="C125" s="193"/>
      <c r="D125" s="178"/>
      <c r="E125" s="246"/>
      <c r="F125" s="230"/>
      <c r="G125" s="192"/>
      <c r="H125" s="192"/>
      <c r="I125" s="192"/>
      <c r="J125" s="192"/>
      <c r="K125" s="192"/>
      <c r="L125" s="192"/>
      <c r="M125" s="192"/>
      <c r="N125" s="192"/>
      <c r="O125" s="192"/>
      <c r="P125" s="192"/>
    </row>
    <row r="126" spans="1:16" x14ac:dyDescent="0.25">
      <c r="A126" s="175">
        <v>1</v>
      </c>
      <c r="B126" s="193" t="s">
        <v>1579</v>
      </c>
      <c r="C126" s="193"/>
      <c r="D126" s="178">
        <v>4121</v>
      </c>
      <c r="E126" s="246">
        <v>83.520399999999995</v>
      </c>
      <c r="F126" s="195">
        <v>135.41370000000001</v>
      </c>
      <c r="G126" s="192">
        <v>218295.839976221</v>
      </c>
      <c r="H126" s="192">
        <v>0</v>
      </c>
      <c r="I126" s="192">
        <v>0</v>
      </c>
      <c r="J126" s="192">
        <v>1234281.3348161965</v>
      </c>
      <c r="K126" s="192">
        <v>114861.05329395771</v>
      </c>
      <c r="L126" s="192">
        <v>1265884.0577379686</v>
      </c>
      <c r="M126" s="192">
        <v>0</v>
      </c>
      <c r="N126" s="192">
        <v>0</v>
      </c>
      <c r="O126" s="192">
        <v>88629.629035821345</v>
      </c>
      <c r="P126" s="192">
        <v>2921951.9148601647</v>
      </c>
    </row>
    <row r="127" spans="1:16" x14ac:dyDescent="0.25">
      <c r="A127" s="175">
        <v>1</v>
      </c>
      <c r="B127" s="249"/>
      <c r="C127" s="193"/>
      <c r="D127" s="178"/>
      <c r="E127" s="246"/>
      <c r="F127" s="230"/>
      <c r="G127" s="192"/>
      <c r="H127" s="192"/>
      <c r="I127" s="192"/>
      <c r="J127" s="192"/>
      <c r="K127" s="192"/>
      <c r="L127" s="192"/>
      <c r="M127" s="192"/>
      <c r="N127" s="192"/>
      <c r="O127" s="192"/>
      <c r="P127" s="192"/>
    </row>
    <row r="128" spans="1:16" x14ac:dyDescent="0.25">
      <c r="A128" s="175">
        <v>1</v>
      </c>
      <c r="B128" s="193" t="s">
        <v>1580</v>
      </c>
      <c r="C128" s="193"/>
      <c r="D128" s="178">
        <v>4120</v>
      </c>
      <c r="E128" s="246">
        <v>6.1863999999999999</v>
      </c>
      <c r="F128" s="195">
        <v>124.6726</v>
      </c>
      <c r="G128" s="192">
        <v>211895.0134448788</v>
      </c>
      <c r="H128" s="192">
        <v>14794.544717668517</v>
      </c>
      <c r="I128" s="192">
        <v>167.71954703760088</v>
      </c>
      <c r="J128" s="192">
        <v>301622.42405545403</v>
      </c>
      <c r="K128" s="192">
        <v>43699.637120522071</v>
      </c>
      <c r="L128" s="192">
        <v>279784.19923293486</v>
      </c>
      <c r="M128" s="192">
        <v>12.706492428969957</v>
      </c>
      <c r="N128" s="192">
        <v>0</v>
      </c>
      <c r="O128" s="192">
        <v>1658.3438925313183</v>
      </c>
      <c r="P128" s="192">
        <v>853634.58850345633</v>
      </c>
    </row>
    <row r="129" spans="1:16" x14ac:dyDescent="0.25">
      <c r="A129" s="175">
        <v>1</v>
      </c>
      <c r="B129" s="193"/>
      <c r="C129" s="193"/>
      <c r="D129" s="178"/>
      <c r="E129" s="246"/>
      <c r="F129" s="230"/>
      <c r="G129" s="192"/>
      <c r="H129" s="192"/>
      <c r="I129" s="192"/>
      <c r="J129" s="192"/>
      <c r="K129" s="192"/>
      <c r="L129" s="192"/>
      <c r="M129" s="192"/>
      <c r="N129" s="192"/>
      <c r="O129" s="192"/>
      <c r="P129" s="192"/>
    </row>
    <row r="130" spans="1:16" x14ac:dyDescent="0.25">
      <c r="A130" s="175">
        <v>1</v>
      </c>
      <c r="B130" s="193" t="s">
        <v>1581</v>
      </c>
      <c r="C130" s="193"/>
      <c r="D130" s="178">
        <v>4119</v>
      </c>
      <c r="E130" s="246">
        <v>12.4612</v>
      </c>
      <c r="F130" s="195">
        <v>137.6463</v>
      </c>
      <c r="G130" s="192">
        <v>190094.26646420569</v>
      </c>
      <c r="H130" s="192">
        <v>6505.496119982884</v>
      </c>
      <c r="I130" s="192">
        <v>9.1336306751434648</v>
      </c>
      <c r="J130" s="192">
        <v>717767.72999675258</v>
      </c>
      <c r="K130" s="192">
        <v>7711.056607493264</v>
      </c>
      <c r="L130" s="192">
        <v>1344075.4060807447</v>
      </c>
      <c r="M130" s="192">
        <v>0</v>
      </c>
      <c r="N130" s="192">
        <v>0</v>
      </c>
      <c r="O130" s="192">
        <v>4746.5746768638173</v>
      </c>
      <c r="P130" s="192">
        <v>2270909.6635767184</v>
      </c>
    </row>
    <row r="131" spans="1:16" x14ac:dyDescent="0.25">
      <c r="A131" s="175">
        <v>1</v>
      </c>
      <c r="B131" s="193"/>
      <c r="C131" s="193"/>
      <c r="D131" s="178"/>
      <c r="E131" s="246"/>
      <c r="F131" s="230"/>
      <c r="G131" s="192"/>
      <c r="H131" s="192"/>
      <c r="I131" s="192"/>
      <c r="J131" s="192"/>
      <c r="K131" s="192"/>
      <c r="L131" s="192"/>
      <c r="M131" s="192"/>
      <c r="N131" s="192"/>
      <c r="O131" s="192"/>
      <c r="P131" s="192"/>
    </row>
    <row r="132" spans="1:16" x14ac:dyDescent="0.25">
      <c r="A132" s="175">
        <v>1</v>
      </c>
      <c r="B132" s="193" t="s">
        <v>1582</v>
      </c>
      <c r="C132" s="193"/>
      <c r="D132" s="178">
        <v>4119</v>
      </c>
      <c r="E132" s="246">
        <v>18.7746</v>
      </c>
      <c r="F132" s="195">
        <v>137.6463</v>
      </c>
      <c r="G132" s="192">
        <v>286404.50479559565</v>
      </c>
      <c r="H132" s="192">
        <v>9801.4707615824027</v>
      </c>
      <c r="I132" s="192">
        <v>13.761135562670409</v>
      </c>
      <c r="J132" s="192">
        <v>1081420.8923375783</v>
      </c>
      <c r="K132" s="192">
        <v>11617.821990100714</v>
      </c>
      <c r="L132" s="192">
        <v>2025043.9860529923</v>
      </c>
      <c r="M132" s="192">
        <v>0</v>
      </c>
      <c r="N132" s="192">
        <v>0</v>
      </c>
      <c r="O132" s="192">
        <v>7151.4012236580284</v>
      </c>
      <c r="P132" s="192">
        <v>3421453.8382970705</v>
      </c>
    </row>
    <row r="133" spans="1:16" x14ac:dyDescent="0.25">
      <c r="A133" s="175">
        <v>1</v>
      </c>
      <c r="B133" s="193"/>
      <c r="C133" s="193"/>
      <c r="D133" s="198"/>
      <c r="E133" s="246"/>
      <c r="F133" s="230"/>
      <c r="G133" s="192"/>
      <c r="H133" s="192"/>
      <c r="I133" s="192"/>
      <c r="J133" s="192"/>
      <c r="K133" s="192"/>
      <c r="L133" s="192"/>
      <c r="M133" s="192"/>
      <c r="N133" s="192"/>
      <c r="O133" s="192"/>
      <c r="P133" s="192"/>
    </row>
    <row r="134" spans="1:16" x14ac:dyDescent="0.25">
      <c r="A134" s="175">
        <v>1</v>
      </c>
      <c r="B134" s="193" t="s">
        <v>1583</v>
      </c>
      <c r="C134" s="193"/>
      <c r="D134" s="198">
        <v>4116</v>
      </c>
      <c r="E134" s="619">
        <v>1.2465999999999999</v>
      </c>
      <c r="F134" s="195">
        <v>90.452699999999993</v>
      </c>
      <c r="G134" s="192">
        <v>49024.021978506717</v>
      </c>
      <c r="H134" s="192">
        <v>2385.4552720247075</v>
      </c>
      <c r="I134" s="192">
        <v>28.161706946971346</v>
      </c>
      <c r="J134" s="192">
        <v>44330.783690282326</v>
      </c>
      <c r="K134" s="192">
        <v>139671.90404076385</v>
      </c>
      <c r="L134" s="192">
        <v>93417.50389951875</v>
      </c>
      <c r="M134" s="192">
        <v>0</v>
      </c>
      <c r="N134" s="192">
        <v>0</v>
      </c>
      <c r="O134" s="192">
        <v>184.90561199405286</v>
      </c>
      <c r="P134" s="192">
        <v>329042.73620003735</v>
      </c>
    </row>
    <row r="135" spans="1:16" x14ac:dyDescent="0.25">
      <c r="A135" s="175">
        <v>1</v>
      </c>
      <c r="B135" s="193" t="s">
        <v>1583</v>
      </c>
      <c r="C135" s="193"/>
      <c r="D135" s="198">
        <v>4116</v>
      </c>
      <c r="E135" s="620">
        <v>0.4763</v>
      </c>
      <c r="F135" s="602">
        <v>0.9526</v>
      </c>
      <c r="G135" s="197">
        <v>18731.061822848347</v>
      </c>
      <c r="H135" s="197">
        <v>911.4329745430515</v>
      </c>
      <c r="I135" s="197">
        <v>10.760004026024749</v>
      </c>
      <c r="J135" s="197">
        <v>0</v>
      </c>
      <c r="K135" s="197">
        <v>0</v>
      </c>
      <c r="L135" s="197">
        <v>0</v>
      </c>
      <c r="M135" s="197">
        <v>90294.475000000006</v>
      </c>
      <c r="N135" s="197">
        <v>228413.98</v>
      </c>
      <c r="O135" s="197">
        <v>70.64859858235792</v>
      </c>
      <c r="P135" s="197">
        <v>338432.35839999979</v>
      </c>
    </row>
    <row r="136" spans="1:16" x14ac:dyDescent="0.25">
      <c r="A136" s="175">
        <v>1</v>
      </c>
      <c r="B136" s="193"/>
      <c r="C136" s="193" t="s">
        <v>1586</v>
      </c>
      <c r="D136" s="198"/>
      <c r="E136" s="619">
        <v>1.7228999999999999</v>
      </c>
      <c r="F136" s="621">
        <v>91.405299999999997</v>
      </c>
      <c r="G136" s="192">
        <v>67755.083801355067</v>
      </c>
      <c r="H136" s="192">
        <v>3296.8882465677589</v>
      </c>
      <c r="I136" s="192">
        <v>38.921710972996095</v>
      </c>
      <c r="J136" s="192">
        <v>44330.783690282326</v>
      </c>
      <c r="K136" s="192">
        <v>139671.90404076385</v>
      </c>
      <c r="L136" s="192">
        <v>93417.50389951875</v>
      </c>
      <c r="M136" s="192">
        <v>90294.475000000006</v>
      </c>
      <c r="N136" s="192">
        <v>228413.98</v>
      </c>
      <c r="O136" s="192">
        <v>255.55421057641078</v>
      </c>
      <c r="P136" s="192">
        <v>667475.09460003721</v>
      </c>
    </row>
    <row r="137" spans="1:16" x14ac:dyDescent="0.25">
      <c r="A137" s="175">
        <v>1</v>
      </c>
      <c r="B137" s="193"/>
      <c r="C137" s="193"/>
      <c r="D137" s="178"/>
      <c r="E137" s="246"/>
      <c r="F137" s="230"/>
      <c r="G137" s="192"/>
      <c r="H137" s="192"/>
      <c r="I137" s="192"/>
      <c r="J137" s="192"/>
      <c r="K137" s="192"/>
      <c r="L137" s="192"/>
      <c r="M137" s="192"/>
      <c r="N137" s="192"/>
      <c r="O137" s="192"/>
      <c r="P137" s="192"/>
    </row>
    <row r="138" spans="1:16" x14ac:dyDescent="0.25">
      <c r="A138" s="175">
        <v>1</v>
      </c>
      <c r="B138" s="193" t="s">
        <v>1587</v>
      </c>
      <c r="C138" s="193"/>
      <c r="D138" s="178">
        <v>4116</v>
      </c>
      <c r="E138" s="619">
        <v>1.7776000000000001</v>
      </c>
      <c r="F138" s="622">
        <v>90.452699999999993</v>
      </c>
      <c r="G138" s="192">
        <v>69906.226110214615</v>
      </c>
      <c r="H138" s="192">
        <v>3401.5604777403496</v>
      </c>
      <c r="I138" s="192">
        <v>40.157428420452646</v>
      </c>
      <c r="J138" s="192">
        <v>63213.862576484731</v>
      </c>
      <c r="K138" s="192">
        <v>199166.35378057262</v>
      </c>
      <c r="L138" s="192">
        <v>133209.4937684779</v>
      </c>
      <c r="M138" s="192">
        <v>0</v>
      </c>
      <c r="N138" s="192">
        <v>0</v>
      </c>
      <c r="O138" s="192">
        <v>263.66774898173304</v>
      </c>
      <c r="P138" s="192">
        <v>469201.32189089246</v>
      </c>
    </row>
    <row r="139" spans="1:16" x14ac:dyDescent="0.25">
      <c r="A139" s="175">
        <v>1</v>
      </c>
      <c r="B139" s="193"/>
      <c r="C139" s="193"/>
      <c r="D139" s="178"/>
      <c r="E139" s="246"/>
      <c r="F139" s="230"/>
      <c r="G139" s="192"/>
      <c r="H139" s="192"/>
      <c r="I139" s="192"/>
      <c r="J139" s="192"/>
      <c r="K139" s="192"/>
      <c r="L139" s="192"/>
      <c r="M139" s="192"/>
      <c r="N139" s="192"/>
      <c r="O139" s="192"/>
      <c r="P139" s="192"/>
    </row>
    <row r="140" spans="1:16" x14ac:dyDescent="0.25">
      <c r="A140" s="175">
        <v>1</v>
      </c>
      <c r="B140" s="193" t="s">
        <v>1588</v>
      </c>
      <c r="C140" s="193"/>
      <c r="D140" s="178">
        <v>4117</v>
      </c>
      <c r="E140" s="246">
        <v>9.2966999999999995</v>
      </c>
      <c r="F140" s="195">
        <v>305.18490000000003</v>
      </c>
      <c r="G140" s="192">
        <v>30630.329458724853</v>
      </c>
      <c r="H140" s="192">
        <v>215.79524718293726</v>
      </c>
      <c r="I140" s="192">
        <v>391.66236033630753</v>
      </c>
      <c r="J140" s="192">
        <v>467081.48751079099</v>
      </c>
      <c r="K140" s="192">
        <v>21125.306971422899</v>
      </c>
      <c r="L140" s="192">
        <v>603741.31943602697</v>
      </c>
      <c r="M140" s="192">
        <v>0</v>
      </c>
      <c r="N140" s="192">
        <v>0</v>
      </c>
      <c r="O140" s="192">
        <v>4604.7688010121083</v>
      </c>
      <c r="P140" s="192">
        <v>1127790.669785497</v>
      </c>
    </row>
    <row r="141" spans="1:16" x14ac:dyDescent="0.25">
      <c r="A141" s="175">
        <v>1</v>
      </c>
      <c r="B141" s="193"/>
      <c r="C141" s="193"/>
      <c r="D141" s="178"/>
      <c r="E141" s="246"/>
      <c r="F141" s="230"/>
      <c r="G141" s="192"/>
      <c r="H141" s="192"/>
      <c r="I141" s="192"/>
      <c r="J141" s="192"/>
      <c r="K141" s="192"/>
      <c r="L141" s="192"/>
      <c r="M141" s="192"/>
      <c r="N141" s="192"/>
      <c r="O141" s="192"/>
      <c r="P141" s="192"/>
    </row>
    <row r="142" spans="1:16" x14ac:dyDescent="0.25">
      <c r="A142" s="175">
        <v>1</v>
      </c>
      <c r="B142" s="193" t="s">
        <v>1589</v>
      </c>
      <c r="C142" s="193"/>
      <c r="D142" s="178">
        <v>4118</v>
      </c>
      <c r="E142" s="246">
        <v>6.6848999999999998</v>
      </c>
      <c r="F142" s="195">
        <v>155.75350000000003</v>
      </c>
      <c r="G142" s="192">
        <v>236808.88825061682</v>
      </c>
      <c r="H142" s="192">
        <v>5628.2337317221327</v>
      </c>
      <c r="I142" s="192">
        <v>94.608621441186386</v>
      </c>
      <c r="J142" s="192">
        <v>749533.00152298412</v>
      </c>
      <c r="K142" s="192">
        <v>10267.226270319523</v>
      </c>
      <c r="L142" s="192">
        <v>606910.52019078855</v>
      </c>
      <c r="M142" s="192">
        <v>0</v>
      </c>
      <c r="N142" s="192">
        <v>0</v>
      </c>
      <c r="O142" s="192">
        <v>7902.6592374963966</v>
      </c>
      <c r="P142" s="192">
        <v>1617145.1378253687</v>
      </c>
    </row>
    <row r="143" spans="1:16" x14ac:dyDescent="0.25">
      <c r="A143" s="175">
        <v>1</v>
      </c>
      <c r="B143" s="193"/>
      <c r="C143" s="193"/>
      <c r="D143" s="178"/>
      <c r="E143" s="246"/>
      <c r="F143" s="230"/>
      <c r="G143" s="192"/>
      <c r="H143" s="192"/>
      <c r="I143" s="192"/>
      <c r="J143" s="192"/>
      <c r="K143" s="192"/>
      <c r="L143" s="192"/>
      <c r="M143" s="192"/>
      <c r="N143" s="192"/>
      <c r="O143" s="192"/>
      <c r="P143" s="192"/>
    </row>
    <row r="144" spans="1:16" x14ac:dyDescent="0.25">
      <c r="A144" s="175">
        <v>1</v>
      </c>
      <c r="B144" s="193" t="s">
        <v>1590</v>
      </c>
      <c r="C144" s="193"/>
      <c r="D144" s="178">
        <v>4118</v>
      </c>
      <c r="E144" s="246">
        <v>6.7911000000000001</v>
      </c>
      <c r="F144" s="195">
        <v>155.75350000000003</v>
      </c>
      <c r="G144" s="192">
        <v>240570.96456173825</v>
      </c>
      <c r="H144" s="192">
        <v>5717.6469499167042</v>
      </c>
      <c r="I144" s="192">
        <v>96.111626063103543</v>
      </c>
      <c r="J144" s="192">
        <v>761440.49524192407</v>
      </c>
      <c r="K144" s="192">
        <v>10430.337076750126</v>
      </c>
      <c r="L144" s="192">
        <v>616552.23468827724</v>
      </c>
      <c r="M144" s="192">
        <v>0</v>
      </c>
      <c r="N144" s="192">
        <v>0</v>
      </c>
      <c r="O144" s="192">
        <v>8028.2052308578714</v>
      </c>
      <c r="P144" s="192">
        <v>1642835.9953755273</v>
      </c>
    </row>
    <row r="145" spans="1:16" x14ac:dyDescent="0.25">
      <c r="A145" s="175">
        <v>1</v>
      </c>
      <c r="B145" s="193"/>
      <c r="C145" s="193"/>
      <c r="D145" s="178"/>
      <c r="E145" s="246"/>
      <c r="F145" s="230"/>
      <c r="G145" s="192"/>
      <c r="H145" s="192"/>
      <c r="I145" s="192"/>
      <c r="J145" s="192"/>
      <c r="K145" s="192"/>
      <c r="L145" s="192"/>
      <c r="M145" s="192"/>
      <c r="N145" s="192"/>
      <c r="O145" s="192"/>
      <c r="P145" s="192"/>
    </row>
    <row r="146" spans="1:16" x14ac:dyDescent="0.25">
      <c r="A146" s="175">
        <v>1</v>
      </c>
      <c r="B146" s="193" t="s">
        <v>1591</v>
      </c>
      <c r="C146" s="193"/>
      <c r="D146" s="178">
        <v>4108</v>
      </c>
      <c r="E146" s="246">
        <v>24.839300000000001</v>
      </c>
      <c r="F146" s="195">
        <v>169.202</v>
      </c>
      <c r="G146" s="192">
        <v>1184402.296782674</v>
      </c>
      <c r="H146" s="192">
        <v>445660.01847235253</v>
      </c>
      <c r="I146" s="192">
        <v>0</v>
      </c>
      <c r="J146" s="192">
        <v>2072083.4647993702</v>
      </c>
      <c r="K146" s="192">
        <v>228788.44426031609</v>
      </c>
      <c r="L146" s="192">
        <v>2077388.110603923</v>
      </c>
      <c r="M146" s="192">
        <v>15.549335445207506</v>
      </c>
      <c r="N146" s="192">
        <v>0</v>
      </c>
      <c r="O146" s="192">
        <v>66667.565793554459</v>
      </c>
      <c r="P146" s="192">
        <v>6075005.4500476355</v>
      </c>
    </row>
    <row r="147" spans="1:16" x14ac:dyDescent="0.25">
      <c r="A147" s="175">
        <v>1</v>
      </c>
      <c r="B147" s="193"/>
      <c r="C147" s="193"/>
      <c r="D147" s="178"/>
      <c r="E147" s="246"/>
      <c r="F147" s="230"/>
      <c r="G147" s="192"/>
      <c r="H147" s="192"/>
      <c r="I147" s="192"/>
      <c r="J147" s="192"/>
      <c r="K147" s="192"/>
      <c r="L147" s="192"/>
      <c r="M147" s="192"/>
      <c r="N147" s="192"/>
      <c r="O147" s="192"/>
      <c r="P147" s="192"/>
    </row>
    <row r="148" spans="1:16" x14ac:dyDescent="0.25">
      <c r="A148" s="175">
        <v>1</v>
      </c>
      <c r="B148" s="251" t="s">
        <v>1592</v>
      </c>
      <c r="C148" s="251"/>
      <c r="D148" s="178">
        <v>4108</v>
      </c>
      <c r="E148" s="246">
        <v>25.410958739999998</v>
      </c>
      <c r="F148" s="195">
        <v>169.202</v>
      </c>
      <c r="G148" s="192">
        <v>1211660.4693008966</v>
      </c>
      <c r="H148" s="192">
        <v>455916.56534075388</v>
      </c>
      <c r="I148" s="192">
        <v>0</v>
      </c>
      <c r="J148" s="192">
        <v>2119770.9850862557</v>
      </c>
      <c r="K148" s="192">
        <v>234053.84681885884</v>
      </c>
      <c r="L148" s="192">
        <v>2125197.7135234424</v>
      </c>
      <c r="M148" s="192">
        <v>15.907192289339369</v>
      </c>
      <c r="N148" s="192">
        <v>0</v>
      </c>
      <c r="O148" s="192">
        <v>68201.872181432132</v>
      </c>
      <c r="P148" s="192">
        <v>6214817.3594439281</v>
      </c>
    </row>
    <row r="149" spans="1:16" x14ac:dyDescent="0.25">
      <c r="A149" s="175">
        <v>1</v>
      </c>
      <c r="B149" s="193"/>
      <c r="C149" s="193"/>
      <c r="D149" s="178"/>
      <c r="E149" s="246"/>
      <c r="F149" s="230"/>
      <c r="G149" s="192"/>
      <c r="H149" s="192"/>
      <c r="I149" s="192"/>
      <c r="J149" s="192"/>
      <c r="K149" s="192"/>
      <c r="L149" s="192"/>
      <c r="M149" s="192"/>
      <c r="N149" s="192"/>
      <c r="O149" s="192"/>
      <c r="P149" s="192"/>
    </row>
    <row r="150" spans="1:16" x14ac:dyDescent="0.25">
      <c r="A150" s="175">
        <v>1</v>
      </c>
      <c r="B150" s="193" t="s">
        <v>1593</v>
      </c>
      <c r="C150" s="193"/>
      <c r="D150" s="178">
        <v>4117</v>
      </c>
      <c r="E150" s="246">
        <v>82.417599999999993</v>
      </c>
      <c r="F150" s="195">
        <v>305.18490000000003</v>
      </c>
      <c r="G150" s="192">
        <v>271545.62814734271</v>
      </c>
      <c r="H150" s="192">
        <v>1913.0795189932396</v>
      </c>
      <c r="I150" s="192">
        <v>3472.1860175388756</v>
      </c>
      <c r="J150" s="192">
        <v>4140795.6807328798</v>
      </c>
      <c r="K150" s="192">
        <v>187281.19653725985</v>
      </c>
      <c r="L150" s="192">
        <v>5352319.7014801698</v>
      </c>
      <c r="M150" s="192">
        <v>0</v>
      </c>
      <c r="N150" s="192">
        <v>0</v>
      </c>
      <c r="O150" s="192">
        <v>40822.441633514631</v>
      </c>
      <c r="P150" s="192">
        <v>9998149.9140677005</v>
      </c>
    </row>
    <row r="151" spans="1:16" x14ac:dyDescent="0.25">
      <c r="A151" s="175">
        <v>1</v>
      </c>
      <c r="B151" s="193" t="s">
        <v>1594</v>
      </c>
      <c r="C151" s="193"/>
      <c r="D151" s="178">
        <v>4127</v>
      </c>
      <c r="E151" s="618">
        <v>26.9238</v>
      </c>
      <c r="F151" s="196">
        <v>85.088799999999992</v>
      </c>
      <c r="G151" s="197">
        <v>6278.5548014074711</v>
      </c>
      <c r="H151" s="197">
        <v>0</v>
      </c>
      <c r="I151" s="197">
        <v>0</v>
      </c>
      <c r="J151" s="197">
        <v>204931.06654793583</v>
      </c>
      <c r="K151" s="197">
        <v>0</v>
      </c>
      <c r="L151" s="197">
        <v>173968.60795032955</v>
      </c>
      <c r="M151" s="197">
        <v>0</v>
      </c>
      <c r="N151" s="197">
        <v>0</v>
      </c>
      <c r="O151" s="197">
        <v>1647.0991128797211</v>
      </c>
      <c r="P151" s="197">
        <v>386825.3284125526</v>
      </c>
    </row>
    <row r="152" spans="1:16" x14ac:dyDescent="0.25">
      <c r="A152" s="175">
        <v>1</v>
      </c>
      <c r="B152" s="193"/>
      <c r="C152" s="198" t="s">
        <v>1595</v>
      </c>
      <c r="D152" s="178"/>
      <c r="E152" s="246">
        <v>109.34139999999999</v>
      </c>
      <c r="F152" s="253">
        <v>390.27370000000002</v>
      </c>
      <c r="G152" s="192">
        <v>277824.18294875015</v>
      </c>
      <c r="H152" s="192">
        <v>1913.0795189932396</v>
      </c>
      <c r="I152" s="192">
        <v>3472.1860175388756</v>
      </c>
      <c r="J152" s="192">
        <v>4345726.7472808156</v>
      </c>
      <c r="K152" s="192">
        <v>187281.19653725985</v>
      </c>
      <c r="L152" s="192">
        <v>5526288.3094304996</v>
      </c>
      <c r="M152" s="192">
        <v>0</v>
      </c>
      <c r="N152" s="192">
        <v>0</v>
      </c>
      <c r="O152" s="192">
        <v>42469.540746394348</v>
      </c>
      <c r="P152" s="192">
        <v>10384975.242480254</v>
      </c>
    </row>
    <row r="153" spans="1:16" x14ac:dyDescent="0.25">
      <c r="A153" s="175">
        <v>1</v>
      </c>
      <c r="B153" s="193"/>
      <c r="C153" s="193"/>
      <c r="D153" s="178"/>
      <c r="E153" s="246"/>
      <c r="F153" s="230"/>
      <c r="G153" s="192"/>
      <c r="H153" s="214"/>
      <c r="I153" s="214"/>
      <c r="J153" s="214"/>
      <c r="K153" s="214"/>
      <c r="L153" s="214"/>
      <c r="M153" s="214"/>
      <c r="N153" s="214"/>
      <c r="O153" s="214"/>
      <c r="P153" s="192"/>
    </row>
    <row r="154" spans="1:16" x14ac:dyDescent="0.25">
      <c r="A154" s="175">
        <v>1</v>
      </c>
      <c r="B154" s="193" t="s">
        <v>1596</v>
      </c>
      <c r="C154" s="193"/>
      <c r="D154" s="178">
        <v>4117</v>
      </c>
      <c r="E154" s="246">
        <v>82.680999999999997</v>
      </c>
      <c r="F154" s="195">
        <v>305.18490000000003</v>
      </c>
      <c r="G154" s="192">
        <v>272413.46606611268</v>
      </c>
      <c r="H154" s="192">
        <v>1919.1935667852504</v>
      </c>
      <c r="I154" s="192">
        <v>3483.2828439087252</v>
      </c>
      <c r="J154" s="192">
        <v>4154029.3296416695</v>
      </c>
      <c r="K154" s="192">
        <v>187879.73213120963</v>
      </c>
      <c r="L154" s="192">
        <v>5369425.2834113343</v>
      </c>
      <c r="M154" s="192">
        <v>0</v>
      </c>
      <c r="N154" s="192">
        <v>0</v>
      </c>
      <c r="O154" s="192">
        <v>40952.906863347431</v>
      </c>
      <c r="P154" s="192">
        <v>10030103.194524366</v>
      </c>
    </row>
    <row r="155" spans="1:16" x14ac:dyDescent="0.25">
      <c r="A155" s="175">
        <v>1</v>
      </c>
      <c r="B155" s="193" t="s">
        <v>1597</v>
      </c>
      <c r="C155" s="193"/>
      <c r="D155" s="178">
        <v>4127</v>
      </c>
      <c r="E155" s="618">
        <v>27.028300000000002</v>
      </c>
      <c r="F155" s="196">
        <v>85.088799999999992</v>
      </c>
      <c r="G155" s="197">
        <v>6302.9239089163329</v>
      </c>
      <c r="H155" s="197">
        <v>0</v>
      </c>
      <c r="I155" s="197">
        <v>0</v>
      </c>
      <c r="J155" s="197">
        <v>205726.47048253124</v>
      </c>
      <c r="K155" s="197">
        <v>0</v>
      </c>
      <c r="L155" s="197">
        <v>174643.83654104892</v>
      </c>
      <c r="M155" s="197">
        <v>0</v>
      </c>
      <c r="N155" s="197">
        <v>0</v>
      </c>
      <c r="O155" s="197">
        <v>1653.4920387407042</v>
      </c>
      <c r="P155" s="197">
        <v>388326.72297123721</v>
      </c>
    </row>
    <row r="156" spans="1:16" x14ac:dyDescent="0.25">
      <c r="A156" s="175">
        <v>1</v>
      </c>
      <c r="B156" s="193"/>
      <c r="C156" s="198" t="s">
        <v>1598</v>
      </c>
      <c r="D156" s="178"/>
      <c r="E156" s="246">
        <v>109.7093</v>
      </c>
      <c r="F156" s="253">
        <v>390.27370000000002</v>
      </c>
      <c r="G156" s="192">
        <v>278716.38997502904</v>
      </c>
      <c r="H156" s="192">
        <v>1919.1935667852504</v>
      </c>
      <c r="I156" s="192">
        <v>3483.2828439087252</v>
      </c>
      <c r="J156" s="192">
        <v>4359755.800124201</v>
      </c>
      <c r="K156" s="192">
        <v>187879.73213120963</v>
      </c>
      <c r="L156" s="192">
        <v>5544069.1199523835</v>
      </c>
      <c r="M156" s="192">
        <v>0</v>
      </c>
      <c r="N156" s="192">
        <v>0</v>
      </c>
      <c r="O156" s="192">
        <v>42606.398902088134</v>
      </c>
      <c r="P156" s="192">
        <v>10418429.917495603</v>
      </c>
    </row>
    <row r="157" spans="1:16" x14ac:dyDescent="0.25">
      <c r="A157" s="175">
        <v>1</v>
      </c>
      <c r="B157" s="193"/>
      <c r="C157" s="193"/>
      <c r="D157" s="178"/>
      <c r="E157" s="246"/>
      <c r="F157" s="230"/>
      <c r="G157" s="192"/>
      <c r="H157" s="214"/>
      <c r="I157" s="214"/>
      <c r="J157" s="214"/>
      <c r="K157" s="214"/>
      <c r="L157" s="214"/>
      <c r="M157" s="214"/>
      <c r="N157" s="214"/>
      <c r="O157" s="214"/>
      <c r="P157" s="192"/>
    </row>
    <row r="158" spans="1:16" x14ac:dyDescent="0.25">
      <c r="A158" s="175">
        <v>1</v>
      </c>
      <c r="B158" s="193" t="s">
        <v>1599</v>
      </c>
      <c r="C158" s="193"/>
      <c r="D158" s="178">
        <v>4109</v>
      </c>
      <c r="E158" s="617">
        <v>0.38260000000000005</v>
      </c>
      <c r="F158" s="195">
        <v>0.3826</v>
      </c>
      <c r="G158" s="192"/>
      <c r="H158" s="192"/>
      <c r="I158" s="192"/>
      <c r="J158" s="192"/>
      <c r="K158" s="192"/>
      <c r="L158" s="192"/>
      <c r="M158" s="192"/>
      <c r="N158" s="192"/>
      <c r="O158" s="192"/>
      <c r="P158" s="211" t="s">
        <v>1541</v>
      </c>
    </row>
    <row r="159" spans="1:16" x14ac:dyDescent="0.25">
      <c r="A159" s="175">
        <v>1</v>
      </c>
      <c r="B159" s="193"/>
      <c r="C159" s="227"/>
      <c r="D159" s="178"/>
      <c r="E159" s="246"/>
      <c r="F159" s="230"/>
      <c r="G159" s="192"/>
      <c r="H159" s="214"/>
      <c r="I159" s="214"/>
      <c r="J159" s="214"/>
      <c r="K159" s="214"/>
      <c r="L159" s="214"/>
      <c r="M159" s="214"/>
      <c r="N159" s="214"/>
      <c r="O159" s="214"/>
      <c r="P159" s="192"/>
    </row>
    <row r="160" spans="1:16" x14ac:dyDescent="0.25">
      <c r="A160" s="175">
        <v>1</v>
      </c>
      <c r="B160" s="193" t="s">
        <v>1600</v>
      </c>
      <c r="C160" s="193"/>
      <c r="D160" s="178">
        <v>4120</v>
      </c>
      <c r="E160" s="246">
        <v>22.495699999999999</v>
      </c>
      <c r="F160" s="195">
        <v>124.6726</v>
      </c>
      <c r="G160" s="192">
        <v>770517.04609335971</v>
      </c>
      <c r="H160" s="192">
        <v>53797.6269890818</v>
      </c>
      <c r="I160" s="192">
        <v>609.88112865216578</v>
      </c>
      <c r="J160" s="192">
        <v>1096794.1880292702</v>
      </c>
      <c r="K160" s="192">
        <v>158905.6522003311</v>
      </c>
      <c r="L160" s="192">
        <v>1017383.5204132183</v>
      </c>
      <c r="M160" s="192">
        <v>46.204810832532566</v>
      </c>
      <c r="N160" s="192">
        <v>0</v>
      </c>
      <c r="O160" s="192">
        <v>6030.2610085375618</v>
      </c>
      <c r="P160" s="192">
        <v>3104084.3806732828</v>
      </c>
    </row>
    <row r="161" spans="1:16" x14ac:dyDescent="0.25">
      <c r="A161" s="175">
        <v>1</v>
      </c>
      <c r="B161" s="193"/>
      <c r="C161" s="193"/>
      <c r="D161" s="178"/>
      <c r="E161" s="246"/>
      <c r="F161" s="230"/>
      <c r="G161" s="192"/>
      <c r="H161" s="192"/>
      <c r="I161" s="192"/>
      <c r="J161" s="192"/>
      <c r="K161" s="192"/>
      <c r="L161" s="192"/>
      <c r="M161" s="192"/>
      <c r="N161" s="192"/>
      <c r="O161" s="192"/>
      <c r="P161" s="192"/>
    </row>
    <row r="162" spans="1:16" x14ac:dyDescent="0.25">
      <c r="A162" s="175">
        <v>1</v>
      </c>
      <c r="B162" s="193" t="s">
        <v>1601</v>
      </c>
      <c r="C162" s="193"/>
      <c r="D162" s="178">
        <v>4115</v>
      </c>
      <c r="E162" s="246">
        <v>6.0439999999999996</v>
      </c>
      <c r="F162" s="195">
        <v>27.066800000000001</v>
      </c>
      <c r="G162" s="192">
        <v>358847.51437776169</v>
      </c>
      <c r="H162" s="192">
        <v>118713.73463135646</v>
      </c>
      <c r="I162" s="192">
        <v>479.79893892148306</v>
      </c>
      <c r="J162" s="192">
        <v>803684.74205595045</v>
      </c>
      <c r="K162" s="192">
        <v>88115.29351973634</v>
      </c>
      <c r="L162" s="192">
        <v>468089.74847710103</v>
      </c>
      <c r="M162" s="192">
        <v>0</v>
      </c>
      <c r="N162" s="192">
        <v>0</v>
      </c>
      <c r="O162" s="192">
        <v>6122.2217772326248</v>
      </c>
      <c r="P162" s="192">
        <v>1844053.05377806</v>
      </c>
    </row>
    <row r="163" spans="1:16" x14ac:dyDescent="0.25">
      <c r="A163" s="175">
        <v>1</v>
      </c>
      <c r="B163" s="193" t="s">
        <v>1601</v>
      </c>
      <c r="C163" s="193"/>
      <c r="D163" s="178">
        <v>4120</v>
      </c>
      <c r="E163" s="618">
        <v>6.2167000000000003</v>
      </c>
      <c r="F163" s="196">
        <v>124.6726</v>
      </c>
      <c r="G163" s="197">
        <v>212932.84140740629</v>
      </c>
      <c r="H163" s="197">
        <v>14867.006036843701</v>
      </c>
      <c r="I163" s="197">
        <v>168.54101061500282</v>
      </c>
      <c r="J163" s="197">
        <v>303099.72255682485</v>
      </c>
      <c r="K163" s="197">
        <v>43913.670969731924</v>
      </c>
      <c r="L163" s="197">
        <v>281154.53759397817</v>
      </c>
      <c r="M163" s="197">
        <v>12.768726801237801</v>
      </c>
      <c r="N163" s="197">
        <v>0</v>
      </c>
      <c r="O163" s="197">
        <v>1666.4661962853106</v>
      </c>
      <c r="P163" s="197">
        <v>857815.55449848645</v>
      </c>
    </row>
    <row r="164" spans="1:16" x14ac:dyDescent="0.25">
      <c r="A164" s="175">
        <v>1</v>
      </c>
      <c r="B164" s="193"/>
      <c r="C164" s="198" t="s">
        <v>1602</v>
      </c>
      <c r="D164" s="178"/>
      <c r="E164" s="246">
        <v>12.2607</v>
      </c>
      <c r="F164" s="253">
        <v>151.73939999999999</v>
      </c>
      <c r="G164" s="192">
        <v>571780.35578516801</v>
      </c>
      <c r="H164" s="192">
        <v>133580.74066820016</v>
      </c>
      <c r="I164" s="192">
        <v>648.33994953648585</v>
      </c>
      <c r="J164" s="192">
        <v>1106784.4646127752</v>
      </c>
      <c r="K164" s="192">
        <v>132028.96448946826</v>
      </c>
      <c r="L164" s="192">
        <v>749244.2860710792</v>
      </c>
      <c r="M164" s="192">
        <v>12.768726801237801</v>
      </c>
      <c r="N164" s="192">
        <v>0</v>
      </c>
      <c r="O164" s="192">
        <v>7788.6879735179355</v>
      </c>
      <c r="P164" s="192">
        <v>2701868.6082765465</v>
      </c>
    </row>
    <row r="165" spans="1:16" x14ac:dyDescent="0.25">
      <c r="A165" s="175">
        <v>1</v>
      </c>
      <c r="B165" s="193"/>
      <c r="C165" s="193"/>
      <c r="D165" s="178"/>
      <c r="E165" s="246"/>
      <c r="F165" s="230"/>
      <c r="G165" s="192"/>
      <c r="H165" s="214"/>
      <c r="I165" s="214"/>
      <c r="J165" s="214"/>
      <c r="K165" s="214"/>
      <c r="L165" s="214"/>
      <c r="M165" s="214"/>
      <c r="N165" s="214"/>
      <c r="O165" s="214"/>
      <c r="P165" s="192"/>
    </row>
    <row r="166" spans="1:16" x14ac:dyDescent="0.25">
      <c r="A166" s="175">
        <v>1</v>
      </c>
      <c r="B166" s="193" t="s">
        <v>1603</v>
      </c>
      <c r="C166" s="193"/>
      <c r="D166" s="178">
        <v>4114</v>
      </c>
      <c r="E166" s="246">
        <v>6.9955999999999996</v>
      </c>
      <c r="F166" s="195">
        <v>129.55309999999997</v>
      </c>
      <c r="G166" s="192">
        <v>173365.04752982373</v>
      </c>
      <c r="H166" s="192">
        <v>29132.371903443454</v>
      </c>
      <c r="I166" s="192">
        <v>35702.450888570027</v>
      </c>
      <c r="J166" s="192">
        <v>730731.58505650598</v>
      </c>
      <c r="K166" s="192">
        <v>7987.3941296348776</v>
      </c>
      <c r="L166" s="192">
        <v>522812.66485482798</v>
      </c>
      <c r="M166" s="192">
        <v>0</v>
      </c>
      <c r="N166" s="192">
        <v>0</v>
      </c>
      <c r="O166" s="192">
        <v>16424.610505252291</v>
      </c>
      <c r="P166" s="192">
        <v>1516156.1248680584</v>
      </c>
    </row>
    <row r="167" spans="1:16" x14ac:dyDescent="0.25">
      <c r="A167" s="175">
        <v>1</v>
      </c>
      <c r="B167" s="193" t="s">
        <v>1603</v>
      </c>
      <c r="C167" s="193"/>
      <c r="D167" s="178">
        <v>4120</v>
      </c>
      <c r="E167" s="618">
        <v>6.2091000000000003</v>
      </c>
      <c r="F167" s="196">
        <v>124.6726</v>
      </c>
      <c r="G167" s="197">
        <v>212672.52812307596</v>
      </c>
      <c r="H167" s="197">
        <v>14848.830920482929</v>
      </c>
      <c r="I167" s="197">
        <v>168.33496694542347</v>
      </c>
      <c r="J167" s="197">
        <v>302729.17903832917</v>
      </c>
      <c r="K167" s="197">
        <v>43859.985911844306</v>
      </c>
      <c r="L167" s="197">
        <v>280810.82236150524</v>
      </c>
      <c r="M167" s="197">
        <v>12.753116859678872</v>
      </c>
      <c r="N167" s="197">
        <v>0</v>
      </c>
      <c r="O167" s="197">
        <v>1664.4289187760585</v>
      </c>
      <c r="P167" s="197">
        <v>856766.8633578188</v>
      </c>
    </row>
    <row r="168" spans="1:16" x14ac:dyDescent="0.25">
      <c r="A168" s="175">
        <v>1</v>
      </c>
      <c r="B168" s="193"/>
      <c r="C168" s="198" t="s">
        <v>1604</v>
      </c>
      <c r="D168" s="178"/>
      <c r="E168" s="246">
        <v>13.204699999999999</v>
      </c>
      <c r="F168" s="253">
        <v>254.22569999999996</v>
      </c>
      <c r="G168" s="192">
        <v>386037.57565289969</v>
      </c>
      <c r="H168" s="192">
        <v>43981.202823926382</v>
      </c>
      <c r="I168" s="192">
        <v>35870.785855515453</v>
      </c>
      <c r="J168" s="192">
        <v>1033460.7640948351</v>
      </c>
      <c r="K168" s="192">
        <v>51847.380041479184</v>
      </c>
      <c r="L168" s="192">
        <v>803623.48721633316</v>
      </c>
      <c r="M168" s="192">
        <v>12.753116859678872</v>
      </c>
      <c r="N168" s="192">
        <v>0</v>
      </c>
      <c r="O168" s="192">
        <v>18089.039424028349</v>
      </c>
      <c r="P168" s="192">
        <v>2372922.9882258773</v>
      </c>
    </row>
    <row r="169" spans="1:16" x14ac:dyDescent="0.25">
      <c r="A169" s="175">
        <v>1</v>
      </c>
      <c r="B169" s="193"/>
      <c r="C169" s="193"/>
      <c r="D169" s="178"/>
      <c r="E169" s="246"/>
      <c r="F169" s="230"/>
      <c r="G169" s="192"/>
      <c r="H169" s="214"/>
      <c r="I169" s="214"/>
      <c r="J169" s="214"/>
      <c r="K169" s="214"/>
      <c r="L169" s="214"/>
      <c r="M169" s="214"/>
      <c r="N169" s="214"/>
      <c r="O169" s="214"/>
      <c r="P169" s="192"/>
    </row>
    <row r="170" spans="1:16" x14ac:dyDescent="0.25">
      <c r="A170" s="175">
        <v>1</v>
      </c>
      <c r="B170" s="193" t="s">
        <v>1605</v>
      </c>
      <c r="C170" s="193"/>
      <c r="D170" s="178">
        <v>4104</v>
      </c>
      <c r="E170" s="246">
        <v>15.230499999999999</v>
      </c>
      <c r="F170" s="195">
        <v>143.64699999999999</v>
      </c>
      <c r="G170" s="192">
        <v>141117.06393030757</v>
      </c>
      <c r="H170" s="192">
        <v>0</v>
      </c>
      <c r="I170" s="192">
        <v>0</v>
      </c>
      <c r="J170" s="192">
        <v>616500.02568456007</v>
      </c>
      <c r="K170" s="192">
        <v>18671.739268380126</v>
      </c>
      <c r="L170" s="192">
        <v>332150.87206593243</v>
      </c>
      <c r="M170" s="192">
        <v>0</v>
      </c>
      <c r="N170" s="192">
        <v>0</v>
      </c>
      <c r="O170" s="192">
        <v>24421.246083681017</v>
      </c>
      <c r="P170" s="192">
        <v>1132860.9470328612</v>
      </c>
    </row>
    <row r="171" spans="1:16" x14ac:dyDescent="0.25">
      <c r="A171" s="175">
        <v>1</v>
      </c>
      <c r="B171" s="193"/>
      <c r="C171" s="193"/>
      <c r="D171" s="178"/>
      <c r="E171" s="246"/>
      <c r="F171" s="230"/>
      <c r="G171" s="192"/>
      <c r="H171" s="192"/>
      <c r="I171" s="192"/>
      <c r="J171" s="192"/>
      <c r="K171" s="192"/>
      <c r="L171" s="192"/>
      <c r="M171" s="192"/>
      <c r="N171" s="192"/>
      <c r="O171" s="192"/>
      <c r="P171" s="192"/>
    </row>
    <row r="172" spans="1:16" x14ac:dyDescent="0.25">
      <c r="A172" s="175">
        <v>1</v>
      </c>
      <c r="B172" s="193" t="s">
        <v>1733</v>
      </c>
      <c r="C172" s="193"/>
      <c r="D172" s="178">
        <v>4104</v>
      </c>
      <c r="E172" s="246">
        <v>43.270700000000005</v>
      </c>
      <c r="F172" s="195">
        <v>143.64699999999999</v>
      </c>
      <c r="G172" s="192">
        <v>400921.44960501371</v>
      </c>
      <c r="H172" s="192">
        <v>0</v>
      </c>
      <c r="I172" s="192">
        <v>0</v>
      </c>
      <c r="J172" s="192">
        <v>1751510.959022284</v>
      </c>
      <c r="K172" s="192">
        <v>53047.452700850015</v>
      </c>
      <c r="L172" s="192">
        <v>943659.15366556228</v>
      </c>
      <c r="M172" s="192">
        <v>0</v>
      </c>
      <c r="N172" s="192">
        <v>0</v>
      </c>
      <c r="O172" s="192">
        <v>69382.12224898304</v>
      </c>
      <c r="P172" s="192">
        <v>3218521.137242693</v>
      </c>
    </row>
    <row r="173" spans="1:16" x14ac:dyDescent="0.25">
      <c r="A173" s="175">
        <v>1</v>
      </c>
      <c r="B173" s="193"/>
      <c r="C173" s="193"/>
      <c r="D173" s="178"/>
      <c r="E173" s="246"/>
      <c r="F173" s="230"/>
      <c r="G173" s="192"/>
      <c r="H173" s="192"/>
      <c r="I173" s="192"/>
      <c r="J173" s="192"/>
      <c r="K173" s="192"/>
      <c r="L173" s="192"/>
      <c r="M173" s="192"/>
      <c r="N173" s="192"/>
      <c r="O173" s="192"/>
      <c r="P173" s="192"/>
    </row>
    <row r="174" spans="1:16" x14ac:dyDescent="0.25">
      <c r="A174" s="175">
        <v>1</v>
      </c>
      <c r="B174" s="193" t="s">
        <v>1734</v>
      </c>
      <c r="C174" s="193"/>
      <c r="D174" s="178">
        <v>4104</v>
      </c>
      <c r="E174" s="246">
        <v>2.3226300000000002</v>
      </c>
      <c r="F174" s="195">
        <v>143.64699999999999</v>
      </c>
      <c r="G174" s="192">
        <v>21520.155359078843</v>
      </c>
      <c r="H174" s="192">
        <v>0</v>
      </c>
      <c r="I174" s="192">
        <v>0</v>
      </c>
      <c r="J174" s="192">
        <v>94015.393759609346</v>
      </c>
      <c r="K174" s="192">
        <v>2847.4141871191191</v>
      </c>
      <c r="L174" s="192">
        <v>50652.544564295124</v>
      </c>
      <c r="M174" s="192">
        <v>0</v>
      </c>
      <c r="N174" s="192">
        <v>0</v>
      </c>
      <c r="O174" s="192">
        <v>3724.2059545871807</v>
      </c>
      <c r="P174" s="192">
        <v>172759.71382468959</v>
      </c>
    </row>
    <row r="175" spans="1:16" x14ac:dyDescent="0.25">
      <c r="A175" s="175">
        <v>1</v>
      </c>
      <c r="B175" s="193" t="s">
        <v>1734</v>
      </c>
      <c r="C175" s="193"/>
      <c r="D175" s="178">
        <v>4756</v>
      </c>
      <c r="E175" s="618">
        <v>27.227370000000001</v>
      </c>
      <c r="F175" s="196">
        <v>120.3068</v>
      </c>
      <c r="G175" s="197">
        <v>244325.63305731764</v>
      </c>
      <c r="H175" s="197">
        <v>0</v>
      </c>
      <c r="I175" s="197">
        <v>0</v>
      </c>
      <c r="J175" s="197">
        <v>1574903.4969842711</v>
      </c>
      <c r="K175" s="197">
        <v>128588.32426211154</v>
      </c>
      <c r="L175" s="197">
        <v>1042079.0102547662</v>
      </c>
      <c r="M175" s="197">
        <v>0</v>
      </c>
      <c r="N175" s="197">
        <v>0</v>
      </c>
      <c r="O175" s="197">
        <v>26995.289592958172</v>
      </c>
      <c r="P175" s="197">
        <v>3016891.7541514244</v>
      </c>
    </row>
    <row r="176" spans="1:16" x14ac:dyDescent="0.25">
      <c r="A176" s="175">
        <v>1</v>
      </c>
      <c r="B176" s="193"/>
      <c r="C176" s="198" t="s">
        <v>1735</v>
      </c>
      <c r="D176" s="178"/>
      <c r="E176" s="246">
        <v>29.55</v>
      </c>
      <c r="F176" s="253">
        <v>263.9538</v>
      </c>
      <c r="G176" s="192">
        <v>265845.78841639648</v>
      </c>
      <c r="H176" s="192">
        <v>0</v>
      </c>
      <c r="I176" s="192">
        <v>0</v>
      </c>
      <c r="J176" s="192">
        <v>1668918.8907438805</v>
      </c>
      <c r="K176" s="192">
        <v>131435.73844923064</v>
      </c>
      <c r="L176" s="192">
        <v>1092731.5548190614</v>
      </c>
      <c r="M176" s="192">
        <v>0</v>
      </c>
      <c r="N176" s="192">
        <v>0</v>
      </c>
      <c r="O176" s="192">
        <v>30719.495547545353</v>
      </c>
      <c r="P176" s="192">
        <v>3189651.4679761138</v>
      </c>
    </row>
    <row r="177" spans="1:16" x14ac:dyDescent="0.25">
      <c r="A177" s="175">
        <v>1</v>
      </c>
      <c r="B177" s="193"/>
      <c r="C177" s="198"/>
      <c r="D177" s="178"/>
      <c r="E177" s="246"/>
      <c r="F177" s="253"/>
      <c r="G177" s="192"/>
      <c r="H177" s="192"/>
      <c r="I177" s="192"/>
      <c r="J177" s="192"/>
      <c r="K177" s="192"/>
      <c r="L177" s="192"/>
      <c r="M177" s="192"/>
      <c r="N177" s="192"/>
      <c r="O177" s="192"/>
      <c r="P177" s="192"/>
    </row>
    <row r="178" spans="1:16" x14ac:dyDescent="0.25">
      <c r="A178" s="175">
        <v>1</v>
      </c>
      <c r="B178" s="193" t="s">
        <v>1736</v>
      </c>
      <c r="C178" s="198"/>
      <c r="D178" s="178">
        <v>4104</v>
      </c>
      <c r="E178" s="246">
        <v>1.0870379999999999</v>
      </c>
      <c r="F178" s="195">
        <v>143.64699999999999</v>
      </c>
      <c r="G178" s="192">
        <v>10071.869665518117</v>
      </c>
      <c r="H178" s="192">
        <v>0</v>
      </c>
      <c r="I178" s="192">
        <v>0</v>
      </c>
      <c r="J178" s="192">
        <v>44001.113221502434</v>
      </c>
      <c r="K178" s="192">
        <v>1332.6476550882373</v>
      </c>
      <c r="L178" s="192">
        <v>23706.419334152331</v>
      </c>
      <c r="M178" s="192">
        <v>0</v>
      </c>
      <c r="N178" s="192">
        <v>0</v>
      </c>
      <c r="O178" s="192">
        <v>1743.0040051418171</v>
      </c>
      <c r="P178" s="192">
        <v>80855.053881402942</v>
      </c>
    </row>
    <row r="179" spans="1:16" x14ac:dyDescent="0.25">
      <c r="A179" s="175">
        <v>1</v>
      </c>
      <c r="B179" s="193" t="s">
        <v>1736</v>
      </c>
      <c r="C179" s="198"/>
      <c r="D179" s="178">
        <v>4756</v>
      </c>
      <c r="E179" s="618">
        <v>12.742962</v>
      </c>
      <c r="F179" s="196">
        <v>120.3068</v>
      </c>
      <c r="G179" s="197">
        <v>114349.35719738419</v>
      </c>
      <c r="H179" s="197">
        <v>0</v>
      </c>
      <c r="I179" s="197">
        <v>0</v>
      </c>
      <c r="J179" s="197">
        <v>737086.8143246182</v>
      </c>
      <c r="K179" s="197">
        <v>60181.946685110066</v>
      </c>
      <c r="L179" s="197">
        <v>487714.13576390583</v>
      </c>
      <c r="M179" s="197">
        <v>0</v>
      </c>
      <c r="N179" s="197">
        <v>0</v>
      </c>
      <c r="O179" s="197">
        <v>12634.343657211895</v>
      </c>
      <c r="P179" s="197">
        <v>1411966.5976282302</v>
      </c>
    </row>
    <row r="180" spans="1:16" x14ac:dyDescent="0.25">
      <c r="A180" s="175">
        <v>1</v>
      </c>
      <c r="B180" s="217"/>
      <c r="C180" s="198" t="s">
        <v>1737</v>
      </c>
      <c r="D180" s="603"/>
      <c r="E180" s="246">
        <v>13.83</v>
      </c>
      <c r="F180" s="253">
        <v>263.9538</v>
      </c>
      <c r="G180" s="192">
        <v>124421.2268629023</v>
      </c>
      <c r="H180" s="192">
        <v>0</v>
      </c>
      <c r="I180" s="192">
        <v>0</v>
      </c>
      <c r="J180" s="192">
        <v>781087.9275461206</v>
      </c>
      <c r="K180" s="192">
        <v>61514.594340198302</v>
      </c>
      <c r="L180" s="192">
        <v>511420.55509805813</v>
      </c>
      <c r="M180" s="192">
        <v>0</v>
      </c>
      <c r="N180" s="192">
        <v>0</v>
      </c>
      <c r="O180" s="192">
        <v>14377.347662353712</v>
      </c>
      <c r="P180" s="192">
        <v>1492821.6515096333</v>
      </c>
    </row>
    <row r="181" spans="1:16" x14ac:dyDescent="0.25">
      <c r="A181" s="175">
        <v>1</v>
      </c>
      <c r="B181" s="193"/>
      <c r="C181" s="198"/>
      <c r="D181" s="178"/>
      <c r="E181" s="246"/>
      <c r="F181" s="230"/>
      <c r="G181" s="192"/>
      <c r="H181" s="214"/>
      <c r="I181" s="214"/>
      <c r="J181" s="214"/>
      <c r="K181" s="214"/>
      <c r="L181" s="214"/>
      <c r="M181" s="214"/>
      <c r="N181" s="214"/>
      <c r="O181" s="214"/>
      <c r="P181" s="192"/>
    </row>
    <row r="182" spans="1:16" x14ac:dyDescent="0.25">
      <c r="A182" s="175">
        <v>1</v>
      </c>
      <c r="B182" s="193" t="s">
        <v>1606</v>
      </c>
      <c r="C182" s="193"/>
      <c r="D182" s="178">
        <v>4104</v>
      </c>
      <c r="E182" s="246">
        <v>4.9870999999999999</v>
      </c>
      <c r="F182" s="195">
        <v>143.64699999999999</v>
      </c>
      <c r="G182" s="192">
        <v>46207.603790212852</v>
      </c>
      <c r="H182" s="192">
        <v>0</v>
      </c>
      <c r="I182" s="192">
        <v>0</v>
      </c>
      <c r="J182" s="192">
        <v>201867.78359813991</v>
      </c>
      <c r="K182" s="192">
        <v>6113.9050527125528</v>
      </c>
      <c r="L182" s="192">
        <v>108760.0285007066</v>
      </c>
      <c r="M182" s="192">
        <v>0</v>
      </c>
      <c r="N182" s="192">
        <v>0</v>
      </c>
      <c r="O182" s="192">
        <v>7996.5330320032563</v>
      </c>
      <c r="P182" s="192">
        <v>370945.85397377523</v>
      </c>
    </row>
    <row r="183" spans="1:16" x14ac:dyDescent="0.25">
      <c r="A183" s="175">
        <v>1</v>
      </c>
      <c r="B183" s="193" t="s">
        <v>1606</v>
      </c>
      <c r="C183" s="193"/>
      <c r="D183" s="178">
        <v>4756</v>
      </c>
      <c r="E183" s="618">
        <v>40.298099999999998</v>
      </c>
      <c r="F183" s="196">
        <v>120.3068</v>
      </c>
      <c r="G183" s="197">
        <v>361616.22637467709</v>
      </c>
      <c r="H183" s="197">
        <v>0</v>
      </c>
      <c r="I183" s="197">
        <v>0</v>
      </c>
      <c r="J183" s="197">
        <v>2330949.284188001</v>
      </c>
      <c r="K183" s="197">
        <v>190318.24043038298</v>
      </c>
      <c r="L183" s="197">
        <v>1542337.8814460444</v>
      </c>
      <c r="M183" s="197">
        <v>0</v>
      </c>
      <c r="N183" s="197">
        <v>0</v>
      </c>
      <c r="O183" s="197">
        <v>39954.607424293557</v>
      </c>
      <c r="P183" s="197">
        <v>4465176.2398633985</v>
      </c>
    </row>
    <row r="184" spans="1:16" x14ac:dyDescent="0.25">
      <c r="A184" s="175">
        <v>1</v>
      </c>
      <c r="B184" s="193"/>
      <c r="C184" s="198" t="s">
        <v>1607</v>
      </c>
      <c r="D184" s="178"/>
      <c r="E184" s="246">
        <v>45.285199999999996</v>
      </c>
      <c r="F184" s="253">
        <v>263.9538</v>
      </c>
      <c r="G184" s="192">
        <v>407823.83016488992</v>
      </c>
      <c r="H184" s="192">
        <v>0</v>
      </c>
      <c r="I184" s="192">
        <v>0</v>
      </c>
      <c r="J184" s="192">
        <v>2532817.0677861408</v>
      </c>
      <c r="K184" s="192">
        <v>196432.14548309555</v>
      </c>
      <c r="L184" s="192">
        <v>1651097.9099467511</v>
      </c>
      <c r="M184" s="192">
        <v>0</v>
      </c>
      <c r="N184" s="192">
        <v>0</v>
      </c>
      <c r="O184" s="192">
        <v>47951.140456296816</v>
      </c>
      <c r="P184" s="192">
        <v>4836122.0938371737</v>
      </c>
    </row>
    <row r="185" spans="1:16" x14ac:dyDescent="0.25">
      <c r="A185" s="175">
        <v>1</v>
      </c>
      <c r="B185" s="193"/>
      <c r="C185" s="193"/>
      <c r="D185" s="178"/>
      <c r="E185" s="246"/>
      <c r="F185" s="230"/>
      <c r="G185" s="192"/>
      <c r="H185" s="214"/>
      <c r="I185" s="214"/>
      <c r="J185" s="214"/>
      <c r="K185" s="214"/>
      <c r="L185" s="214"/>
      <c r="M185" s="214"/>
      <c r="N185" s="214"/>
      <c r="O185" s="214"/>
      <c r="P185" s="192"/>
    </row>
    <row r="186" spans="1:16" x14ac:dyDescent="0.25">
      <c r="A186" s="175">
        <v>1</v>
      </c>
      <c r="B186" s="193" t="s">
        <v>1608</v>
      </c>
      <c r="C186" s="193"/>
      <c r="D186" s="178">
        <v>4104</v>
      </c>
      <c r="E186" s="246">
        <v>4.9855999999999998</v>
      </c>
      <c r="F186" s="195">
        <v>143.64699999999999</v>
      </c>
      <c r="G186" s="192">
        <v>46193.705651878889</v>
      </c>
      <c r="H186" s="192">
        <v>0</v>
      </c>
      <c r="I186" s="192">
        <v>0</v>
      </c>
      <c r="J186" s="192">
        <v>201807.06661323941</v>
      </c>
      <c r="K186" s="192">
        <v>6112.0661367936682</v>
      </c>
      <c r="L186" s="192">
        <v>108727.31609414745</v>
      </c>
      <c r="M186" s="192">
        <v>0</v>
      </c>
      <c r="N186" s="192">
        <v>0</v>
      </c>
      <c r="O186" s="192">
        <v>7994.1278667673478</v>
      </c>
      <c r="P186" s="192">
        <v>370834.28236282675</v>
      </c>
    </row>
    <row r="187" spans="1:16" x14ac:dyDescent="0.25">
      <c r="A187" s="175">
        <v>1</v>
      </c>
      <c r="B187" s="193" t="s">
        <v>1608</v>
      </c>
      <c r="C187" s="193"/>
      <c r="D187" s="178">
        <v>4756</v>
      </c>
      <c r="E187" s="618">
        <v>40.036399999999993</v>
      </c>
      <c r="F187" s="196">
        <v>120.3068</v>
      </c>
      <c r="G187" s="197">
        <v>359267.85346274683</v>
      </c>
      <c r="H187" s="197">
        <v>0</v>
      </c>
      <c r="I187" s="197">
        <v>0</v>
      </c>
      <c r="J187" s="197">
        <v>2315811.8601488522</v>
      </c>
      <c r="K187" s="197">
        <v>189082.294231415</v>
      </c>
      <c r="L187" s="197">
        <v>1532321.7808464023</v>
      </c>
      <c r="M187" s="197">
        <v>0</v>
      </c>
      <c r="N187" s="197">
        <v>0</v>
      </c>
      <c r="O187" s="197">
        <v>39695.138100356751</v>
      </c>
      <c r="P187" s="197">
        <v>4436178.9267897727</v>
      </c>
    </row>
    <row r="188" spans="1:16" x14ac:dyDescent="0.25">
      <c r="A188" s="175">
        <v>1</v>
      </c>
      <c r="B188" s="193"/>
      <c r="C188" s="198" t="s">
        <v>1609</v>
      </c>
      <c r="D188" s="178"/>
      <c r="E188" s="246">
        <v>45.021999999999991</v>
      </c>
      <c r="F188" s="253">
        <v>263.9538</v>
      </c>
      <c r="G188" s="192">
        <v>405461.55911462574</v>
      </c>
      <c r="H188" s="192">
        <v>0</v>
      </c>
      <c r="I188" s="192">
        <v>0</v>
      </c>
      <c r="J188" s="192">
        <v>2517618.9267620915</v>
      </c>
      <c r="K188" s="192">
        <v>195194.36036820867</v>
      </c>
      <c r="L188" s="192">
        <v>1641049.0969405498</v>
      </c>
      <c r="M188" s="192">
        <v>0</v>
      </c>
      <c r="N188" s="192">
        <v>0</v>
      </c>
      <c r="O188" s="192">
        <v>47689.265967124098</v>
      </c>
      <c r="P188" s="192">
        <v>4807013.2091525998</v>
      </c>
    </row>
    <row r="189" spans="1:16" x14ac:dyDescent="0.25">
      <c r="A189" s="175">
        <v>1</v>
      </c>
      <c r="B189" s="193"/>
      <c r="C189" s="193"/>
      <c r="D189" s="178"/>
      <c r="E189" s="246"/>
      <c r="F189" s="230"/>
      <c r="G189" s="192"/>
      <c r="H189" s="192"/>
      <c r="I189" s="192"/>
      <c r="J189" s="192"/>
      <c r="K189" s="192"/>
      <c r="L189" s="192"/>
      <c r="M189" s="192"/>
      <c r="N189" s="192"/>
      <c r="O189" s="192"/>
      <c r="P189" s="192"/>
    </row>
    <row r="190" spans="1:16" x14ac:dyDescent="0.25">
      <c r="A190" s="175">
        <v>1</v>
      </c>
      <c r="B190" s="193" t="s">
        <v>1610</v>
      </c>
      <c r="C190" s="193"/>
      <c r="D190" s="178">
        <v>4101</v>
      </c>
      <c r="E190" s="246">
        <v>2.5350000000000001</v>
      </c>
      <c r="F190" s="195">
        <v>354.28050000000002</v>
      </c>
      <c r="G190" s="192">
        <v>10437.834102215616</v>
      </c>
      <c r="H190" s="192">
        <v>1990.4841566216598</v>
      </c>
      <c r="I190" s="192">
        <v>704.62131743067994</v>
      </c>
      <c r="J190" s="192">
        <v>159564.96420167069</v>
      </c>
      <c r="K190" s="192">
        <v>9889.0757103481556</v>
      </c>
      <c r="L190" s="192">
        <v>217832.04794506048</v>
      </c>
      <c r="M190" s="192">
        <v>0</v>
      </c>
      <c r="N190" s="192">
        <v>0</v>
      </c>
      <c r="O190" s="192">
        <v>8352.3557702159724</v>
      </c>
      <c r="P190" s="192">
        <v>408771.38320356328</v>
      </c>
    </row>
    <row r="191" spans="1:16" x14ac:dyDescent="0.25">
      <c r="A191" s="175">
        <v>1</v>
      </c>
      <c r="B191" s="193" t="s">
        <v>1610</v>
      </c>
      <c r="C191" s="193"/>
      <c r="D191" s="178">
        <v>4114</v>
      </c>
      <c r="E191" s="618">
        <v>22.061</v>
      </c>
      <c r="F191" s="196">
        <v>129.55309999999997</v>
      </c>
      <c r="G191" s="197">
        <v>546715.98055283912</v>
      </c>
      <c r="H191" s="197">
        <v>91870.498107648542</v>
      </c>
      <c r="I191" s="197">
        <v>112589.59475280796</v>
      </c>
      <c r="J191" s="197">
        <v>2304401.2662147037</v>
      </c>
      <c r="K191" s="197">
        <v>25188.676009759714</v>
      </c>
      <c r="L191" s="197">
        <v>1648717.7939508203</v>
      </c>
      <c r="M191" s="197">
        <v>0</v>
      </c>
      <c r="N191" s="197">
        <v>0</v>
      </c>
      <c r="O191" s="197">
        <v>51795.89061072257</v>
      </c>
      <c r="P191" s="197">
        <v>4781279.7001993023</v>
      </c>
    </row>
    <row r="192" spans="1:16" x14ac:dyDescent="0.25">
      <c r="A192" s="175">
        <v>1</v>
      </c>
      <c r="B192" s="193"/>
      <c r="C192" s="198" t="s">
        <v>1611</v>
      </c>
      <c r="D192" s="178"/>
      <c r="E192" s="246">
        <v>24.596</v>
      </c>
      <c r="F192" s="253">
        <v>483.83359999999999</v>
      </c>
      <c r="G192" s="192">
        <v>557153.81465505471</v>
      </c>
      <c r="H192" s="192">
        <v>93860.982264270206</v>
      </c>
      <c r="I192" s="192">
        <v>113294.21607023863</v>
      </c>
      <c r="J192" s="192">
        <v>2463966.2304163743</v>
      </c>
      <c r="K192" s="192">
        <v>35077.751720107874</v>
      </c>
      <c r="L192" s="192">
        <v>1866549.8418958809</v>
      </c>
      <c r="M192" s="192">
        <v>0</v>
      </c>
      <c r="N192" s="192">
        <v>0</v>
      </c>
      <c r="O192" s="192">
        <v>60148.246380938544</v>
      </c>
      <c r="P192" s="192">
        <v>5190051.0834028656</v>
      </c>
    </row>
    <row r="193" spans="1:16" x14ac:dyDescent="0.25">
      <c r="A193" s="175">
        <v>1</v>
      </c>
      <c r="B193" s="193"/>
      <c r="C193" s="198"/>
      <c r="D193" s="178"/>
      <c r="E193" s="246"/>
      <c r="F193" s="230"/>
      <c r="G193" s="192"/>
      <c r="H193" s="192"/>
      <c r="I193" s="192"/>
      <c r="J193" s="192"/>
      <c r="K193" s="192"/>
      <c r="L193" s="192"/>
      <c r="M193" s="192"/>
      <c r="N193" s="192"/>
      <c r="O193" s="192"/>
      <c r="P193" s="192"/>
    </row>
    <row r="194" spans="1:16" x14ac:dyDescent="0.25">
      <c r="A194" s="175">
        <v>1</v>
      </c>
      <c r="B194" s="193" t="s">
        <v>1612</v>
      </c>
      <c r="C194" s="193"/>
      <c r="D194" s="178">
        <v>4101</v>
      </c>
      <c r="E194" s="246">
        <v>46.660799999999995</v>
      </c>
      <c r="F194" s="195">
        <v>354.28050000000002</v>
      </c>
      <c r="G194" s="192">
        <v>192125.32129256899</v>
      </c>
      <c r="H194" s="192">
        <v>36638.099856130939</v>
      </c>
      <c r="I194" s="192">
        <v>12969.701920461328</v>
      </c>
      <c r="J194" s="192">
        <v>2937052.8132628463</v>
      </c>
      <c r="K194" s="192">
        <v>182024.53014020243</v>
      </c>
      <c r="L194" s="192">
        <v>4009553.3028618842</v>
      </c>
      <c r="M194" s="192">
        <v>0</v>
      </c>
      <c r="N194" s="192">
        <v>0</v>
      </c>
      <c r="O194" s="192">
        <v>153738.69906228536</v>
      </c>
      <c r="P194" s="192">
        <v>7524102.4683963796</v>
      </c>
    </row>
    <row r="195" spans="1:16" x14ac:dyDescent="0.25">
      <c r="A195" s="175">
        <v>1</v>
      </c>
      <c r="B195" s="193" t="s">
        <v>1612</v>
      </c>
      <c r="C195" s="193"/>
      <c r="D195" s="178">
        <v>4114</v>
      </c>
      <c r="E195" s="618">
        <v>4.6021000000000001</v>
      </c>
      <c r="F195" s="196">
        <v>129.55309999999997</v>
      </c>
      <c r="G195" s="197">
        <v>114049.30030833691</v>
      </c>
      <c r="H195" s="197">
        <v>19164.916338389437</v>
      </c>
      <c r="I195" s="197">
        <v>23487.084629522575</v>
      </c>
      <c r="J195" s="197">
        <v>480716.42569451459</v>
      </c>
      <c r="K195" s="197">
        <v>5254.5580827938529</v>
      </c>
      <c r="L195" s="197">
        <v>343935.64024935733</v>
      </c>
      <c r="M195" s="197">
        <v>0</v>
      </c>
      <c r="N195" s="197">
        <v>0</v>
      </c>
      <c r="O195" s="197">
        <v>10805.034594062206</v>
      </c>
      <c r="P195" s="197">
        <v>997412.95989697694</v>
      </c>
    </row>
    <row r="196" spans="1:16" x14ac:dyDescent="0.25">
      <c r="A196" s="175">
        <v>1</v>
      </c>
      <c r="B196" s="193"/>
      <c r="C196" s="198" t="s">
        <v>1613</v>
      </c>
      <c r="D196" s="178"/>
      <c r="E196" s="246">
        <v>51.262899999999995</v>
      </c>
      <c r="F196" s="253">
        <v>483.83359999999999</v>
      </c>
      <c r="G196" s="192">
        <v>306174.6216009059</v>
      </c>
      <c r="H196" s="192">
        <v>55803.016194520373</v>
      </c>
      <c r="I196" s="192">
        <v>36456.786549983903</v>
      </c>
      <c r="J196" s="192">
        <v>3417769.2389573609</v>
      </c>
      <c r="K196" s="192">
        <v>187279.08822299627</v>
      </c>
      <c r="L196" s="192">
        <v>4353488.9431112418</v>
      </c>
      <c r="M196" s="192">
        <v>0</v>
      </c>
      <c r="N196" s="192">
        <v>0</v>
      </c>
      <c r="O196" s="192">
        <v>164543.73365634755</v>
      </c>
      <c r="P196" s="192">
        <v>8521515.4282933567</v>
      </c>
    </row>
    <row r="197" spans="1:16" x14ac:dyDescent="0.25">
      <c r="A197" s="175">
        <v>1</v>
      </c>
      <c r="B197" s="193"/>
      <c r="C197" s="198"/>
      <c r="D197" s="178"/>
      <c r="E197" s="246"/>
      <c r="F197" s="230"/>
      <c r="G197" s="192"/>
      <c r="H197" s="192"/>
      <c r="I197" s="192"/>
      <c r="J197" s="192"/>
      <c r="K197" s="192"/>
      <c r="L197" s="192"/>
      <c r="M197" s="192"/>
      <c r="N197" s="192"/>
      <c r="O197" s="192"/>
      <c r="P197" s="192"/>
    </row>
    <row r="198" spans="1:16" x14ac:dyDescent="0.25">
      <c r="A198" s="175">
        <v>1</v>
      </c>
      <c r="B198" s="193" t="s">
        <v>1614</v>
      </c>
      <c r="C198" s="198"/>
      <c r="D198" s="178">
        <v>4046</v>
      </c>
      <c r="E198" s="246">
        <v>1.79</v>
      </c>
      <c r="F198" s="195">
        <v>1.7900000000000003</v>
      </c>
      <c r="G198" s="192">
        <v>186657</v>
      </c>
      <c r="H198" s="192">
        <v>0</v>
      </c>
      <c r="I198" s="192">
        <v>0</v>
      </c>
      <c r="J198" s="192">
        <v>214408.71999999997</v>
      </c>
      <c r="K198" s="192">
        <v>0</v>
      </c>
      <c r="L198" s="192">
        <v>62108.409999999996</v>
      </c>
      <c r="M198" s="192">
        <v>0</v>
      </c>
      <c r="N198" s="192">
        <v>0</v>
      </c>
      <c r="O198" s="192">
        <v>0</v>
      </c>
      <c r="P198" s="192">
        <v>463174.12999999995</v>
      </c>
    </row>
    <row r="199" spans="1:16" x14ac:dyDescent="0.25">
      <c r="A199" s="175">
        <v>1</v>
      </c>
      <c r="B199" s="193" t="s">
        <v>1614</v>
      </c>
      <c r="C199" s="198"/>
      <c r="D199" s="178">
        <v>4101</v>
      </c>
      <c r="E199" s="618">
        <v>23.6785</v>
      </c>
      <c r="F199" s="196">
        <v>354.28050000000002</v>
      </c>
      <c r="G199" s="197">
        <v>97495.958496770196</v>
      </c>
      <c r="H199" s="197">
        <v>18592.378344207482</v>
      </c>
      <c r="I199" s="197">
        <v>6581.607836206058</v>
      </c>
      <c r="J199" s="197">
        <v>1490437.4772580906</v>
      </c>
      <c r="K199" s="197">
        <v>92370.208760346664</v>
      </c>
      <c r="L199" s="197">
        <v>2034688.8154899857</v>
      </c>
      <c r="M199" s="197">
        <v>0</v>
      </c>
      <c r="N199" s="197">
        <v>0</v>
      </c>
      <c r="O199" s="197">
        <v>78016.274597656375</v>
      </c>
      <c r="P199" s="197">
        <v>3818182.720783263</v>
      </c>
    </row>
    <row r="200" spans="1:16" x14ac:dyDescent="0.25">
      <c r="A200" s="175">
        <v>1</v>
      </c>
      <c r="B200" s="193"/>
      <c r="C200" s="198" t="s">
        <v>1615</v>
      </c>
      <c r="D200" s="198"/>
      <c r="E200" s="246">
        <v>25.468499999999999</v>
      </c>
      <c r="F200" s="253">
        <v>356.07050000000004</v>
      </c>
      <c r="G200" s="192">
        <v>284152.95849677018</v>
      </c>
      <c r="H200" s="192">
        <v>18592.378344207482</v>
      </c>
      <c r="I200" s="192">
        <v>6581.607836206058</v>
      </c>
      <c r="J200" s="192">
        <v>1704846.1972580906</v>
      </c>
      <c r="K200" s="192">
        <v>92370.208760346664</v>
      </c>
      <c r="L200" s="192">
        <v>2096797.2254899857</v>
      </c>
      <c r="M200" s="192">
        <v>0</v>
      </c>
      <c r="N200" s="192">
        <v>0</v>
      </c>
      <c r="O200" s="192">
        <v>78016.274597656375</v>
      </c>
      <c r="P200" s="192">
        <v>4281356.8507832633</v>
      </c>
    </row>
    <row r="201" spans="1:16" x14ac:dyDescent="0.25">
      <c r="A201" s="175">
        <v>1</v>
      </c>
      <c r="B201" s="193"/>
      <c r="C201" s="254"/>
      <c r="D201" s="198"/>
      <c r="E201" s="246"/>
      <c r="F201" s="230"/>
      <c r="G201" s="192"/>
      <c r="H201" s="192"/>
      <c r="I201" s="192"/>
      <c r="J201" s="192"/>
      <c r="K201" s="192"/>
      <c r="L201" s="192"/>
      <c r="M201" s="192"/>
      <c r="N201" s="192"/>
      <c r="O201" s="192"/>
      <c r="P201" s="192"/>
    </row>
    <row r="202" spans="1:16" x14ac:dyDescent="0.25">
      <c r="A202" s="175">
        <v>1</v>
      </c>
      <c r="B202" s="193" t="s">
        <v>1616</v>
      </c>
      <c r="C202" s="198"/>
      <c r="D202" s="198">
        <v>4116</v>
      </c>
      <c r="E202" s="246">
        <v>2.9001000000000001</v>
      </c>
      <c r="F202" s="195">
        <v>90.452699999999993</v>
      </c>
      <c r="G202" s="192">
        <v>114049.86855436175</v>
      </c>
      <c r="H202" s="192">
        <v>5549.5418212729455</v>
      </c>
      <c r="I202" s="192">
        <v>65.515615527764808</v>
      </c>
      <c r="J202" s="192">
        <v>103131.48225588624</v>
      </c>
      <c r="K202" s="192">
        <v>324933.81109306857</v>
      </c>
      <c r="L202" s="192">
        <v>217327.21246510057</v>
      </c>
      <c r="M202" s="192">
        <v>0</v>
      </c>
      <c r="N202" s="192">
        <v>0</v>
      </c>
      <c r="O202" s="192">
        <v>430.16586342367458</v>
      </c>
      <c r="P202" s="192">
        <v>765487.59766864148</v>
      </c>
    </row>
    <row r="203" spans="1:16" x14ac:dyDescent="0.25">
      <c r="A203" s="175">
        <v>1</v>
      </c>
      <c r="B203" s="193" t="s">
        <v>1616</v>
      </c>
      <c r="C203" s="198"/>
      <c r="D203" s="198">
        <v>4116</v>
      </c>
      <c r="E203" s="618">
        <v>0.4763</v>
      </c>
      <c r="F203" s="602">
        <v>0.9526</v>
      </c>
      <c r="G203" s="197">
        <v>18731.061822848347</v>
      </c>
      <c r="H203" s="197">
        <v>911.4329745430515</v>
      </c>
      <c r="I203" s="197">
        <v>10.760004026024749</v>
      </c>
      <c r="J203" s="197">
        <v>0</v>
      </c>
      <c r="K203" s="197">
        <v>0</v>
      </c>
      <c r="L203" s="197">
        <v>0</v>
      </c>
      <c r="M203" s="197">
        <v>90294.475000000006</v>
      </c>
      <c r="N203" s="197">
        <v>228413.98</v>
      </c>
      <c r="O203" s="197">
        <v>70.64859858235792</v>
      </c>
      <c r="P203" s="197">
        <v>338432.35839999979</v>
      </c>
    </row>
    <row r="204" spans="1:16" x14ac:dyDescent="0.25">
      <c r="A204" s="175">
        <v>1</v>
      </c>
      <c r="B204" s="193"/>
      <c r="C204" s="198" t="s">
        <v>1617</v>
      </c>
      <c r="D204" s="198"/>
      <c r="E204" s="246">
        <v>3.3764000000000003</v>
      </c>
      <c r="F204" s="253">
        <v>91.405299999999997</v>
      </c>
      <c r="G204" s="192">
        <v>132780.93037721008</v>
      </c>
      <c r="H204" s="192">
        <v>6460.9747958159969</v>
      </c>
      <c r="I204" s="192">
        <v>76.275619553789554</v>
      </c>
      <c r="J204" s="192">
        <v>103131.48225588624</v>
      </c>
      <c r="K204" s="192">
        <v>324933.81109306857</v>
      </c>
      <c r="L204" s="192">
        <v>217327.21246510057</v>
      </c>
      <c r="M204" s="192">
        <v>90294.475000000006</v>
      </c>
      <c r="N204" s="192">
        <v>228413.98</v>
      </c>
      <c r="O204" s="192">
        <v>500.8144620060325</v>
      </c>
      <c r="P204" s="192">
        <v>1103919.9560686413</v>
      </c>
    </row>
    <row r="205" spans="1:16" x14ac:dyDescent="0.25">
      <c r="A205" s="175">
        <v>1</v>
      </c>
      <c r="B205" s="193"/>
      <c r="C205" s="198"/>
      <c r="D205" s="198"/>
      <c r="E205" s="246"/>
      <c r="F205" s="230"/>
      <c r="G205" s="192"/>
      <c r="H205" s="192"/>
      <c r="I205" s="192"/>
      <c r="J205" s="192"/>
      <c r="K205" s="192"/>
      <c r="L205" s="192"/>
      <c r="M205" s="192"/>
      <c r="N205" s="192"/>
      <c r="O205" s="192"/>
      <c r="P205" s="192"/>
    </row>
    <row r="206" spans="1:16" x14ac:dyDescent="0.25">
      <c r="A206" s="175">
        <v>1</v>
      </c>
      <c r="B206" s="193" t="s">
        <v>1618</v>
      </c>
      <c r="C206" s="198"/>
      <c r="D206" s="178">
        <v>4116</v>
      </c>
      <c r="E206" s="246">
        <v>8.7009000000000007</v>
      </c>
      <c r="F206" s="195">
        <v>90.452699999999993</v>
      </c>
      <c r="G206" s="192">
        <v>342173.20137396851</v>
      </c>
      <c r="H206" s="192">
        <v>16649.773605294224</v>
      </c>
      <c r="I206" s="192">
        <v>196.5604010708351</v>
      </c>
      <c r="J206" s="192">
        <v>309415.78357995953</v>
      </c>
      <c r="K206" s="192">
        <v>974868.65864614351</v>
      </c>
      <c r="L206" s="192">
        <v>652026.60009571863</v>
      </c>
      <c r="M206" s="192">
        <v>0</v>
      </c>
      <c r="N206" s="192">
        <v>0</v>
      </c>
      <c r="O206" s="192">
        <v>1290.5865870359819</v>
      </c>
      <c r="P206" s="192">
        <v>2296621.1642891914</v>
      </c>
    </row>
    <row r="207" spans="1:16" x14ac:dyDescent="0.25">
      <c r="A207" s="175">
        <v>1</v>
      </c>
      <c r="B207" s="193"/>
      <c r="C207" s="198"/>
      <c r="D207" s="178"/>
      <c r="E207" s="246"/>
      <c r="F207" s="230"/>
      <c r="G207" s="192"/>
      <c r="H207" s="192"/>
      <c r="I207" s="192"/>
      <c r="J207" s="192"/>
      <c r="K207" s="192"/>
      <c r="L207" s="192"/>
      <c r="M207" s="192"/>
      <c r="N207" s="192"/>
      <c r="O207" s="192"/>
      <c r="P207" s="192"/>
    </row>
    <row r="208" spans="1:16" x14ac:dyDescent="0.25">
      <c r="A208" s="175">
        <v>1</v>
      </c>
      <c r="B208" s="193" t="s">
        <v>1619</v>
      </c>
      <c r="C208" s="198"/>
      <c r="D208" s="178">
        <v>4116</v>
      </c>
      <c r="E208" s="246">
        <v>3.8702000000000001</v>
      </c>
      <c r="F208" s="195">
        <v>90.452699999999993</v>
      </c>
      <c r="G208" s="192">
        <v>152200.20043415425</v>
      </c>
      <c r="H208" s="192">
        <v>7405.8952300577748</v>
      </c>
      <c r="I208" s="192">
        <v>87.430962799750134</v>
      </c>
      <c r="J208" s="192">
        <v>137629.55161088618</v>
      </c>
      <c r="K208" s="192">
        <v>433626.02520340466</v>
      </c>
      <c r="L208" s="192">
        <v>290024.40525582986</v>
      </c>
      <c r="M208" s="192">
        <v>0</v>
      </c>
      <c r="N208" s="192">
        <v>0</v>
      </c>
      <c r="O208" s="192">
        <v>574.05879956632714</v>
      </c>
      <c r="P208" s="192">
        <v>1021547.5674966989</v>
      </c>
    </row>
    <row r="209" spans="1:16" x14ac:dyDescent="0.25">
      <c r="A209" s="175">
        <v>1</v>
      </c>
      <c r="B209" s="193"/>
      <c r="C209" s="198"/>
      <c r="D209" s="178"/>
      <c r="E209" s="246"/>
      <c r="F209" s="230"/>
      <c r="G209" s="192"/>
      <c r="H209" s="192"/>
      <c r="I209" s="192"/>
      <c r="J209" s="192"/>
      <c r="K209" s="192"/>
      <c r="L209" s="192"/>
      <c r="M209" s="192"/>
      <c r="N209" s="192"/>
      <c r="O209" s="192"/>
      <c r="P209" s="192"/>
    </row>
    <row r="210" spans="1:16" x14ac:dyDescent="0.25">
      <c r="A210" s="175">
        <v>1</v>
      </c>
      <c r="B210" s="193" t="s">
        <v>1620</v>
      </c>
      <c r="C210" s="198"/>
      <c r="D210" s="178">
        <v>4116</v>
      </c>
      <c r="E210" s="246">
        <v>3.9963000000000002</v>
      </c>
      <c r="F210" s="195">
        <v>90.452699999999993</v>
      </c>
      <c r="G210" s="192">
        <v>157159.2323381248</v>
      </c>
      <c r="H210" s="192">
        <v>7647.1962968011694</v>
      </c>
      <c r="I210" s="192">
        <v>90.279664264544849</v>
      </c>
      <c r="J210" s="192">
        <v>142113.83832943629</v>
      </c>
      <c r="K210" s="192">
        <v>447754.55648813141</v>
      </c>
      <c r="L210" s="192">
        <v>299474.06612678227</v>
      </c>
      <c r="M210" s="192">
        <v>0</v>
      </c>
      <c r="N210" s="192">
        <v>0</v>
      </c>
      <c r="O210" s="192">
        <v>592.76295300163122</v>
      </c>
      <c r="P210" s="192">
        <v>1054831.9321965419</v>
      </c>
    </row>
    <row r="211" spans="1:16" x14ac:dyDescent="0.25">
      <c r="A211" s="175">
        <v>1</v>
      </c>
      <c r="B211" s="193"/>
      <c r="C211" s="198"/>
      <c r="D211" s="178"/>
      <c r="E211" s="246"/>
      <c r="F211" s="230"/>
      <c r="G211" s="192"/>
      <c r="H211" s="192"/>
      <c r="I211" s="192"/>
      <c r="J211" s="192"/>
      <c r="K211" s="192"/>
      <c r="L211" s="192"/>
      <c r="M211" s="192"/>
      <c r="N211" s="192"/>
      <c r="O211" s="192"/>
      <c r="P211" s="192"/>
    </row>
    <row r="212" spans="1:16" x14ac:dyDescent="0.25">
      <c r="A212" s="175">
        <v>1</v>
      </c>
      <c r="B212" s="193" t="s">
        <v>1621</v>
      </c>
      <c r="C212" s="198"/>
      <c r="D212" s="178">
        <v>4144</v>
      </c>
      <c r="E212" s="246">
        <v>15.290800000000001</v>
      </c>
      <c r="F212" s="195">
        <v>30.635900000000003</v>
      </c>
      <c r="G212" s="192">
        <v>4987.8985996167894</v>
      </c>
      <c r="H212" s="192">
        <v>0</v>
      </c>
      <c r="I212" s="192">
        <v>0</v>
      </c>
      <c r="J212" s="192">
        <v>236417.40757725411</v>
      </c>
      <c r="K212" s="192">
        <v>0</v>
      </c>
      <c r="L212" s="192">
        <v>214227.18304002818</v>
      </c>
      <c r="M212" s="192">
        <v>0</v>
      </c>
      <c r="N212" s="192">
        <v>0</v>
      </c>
      <c r="O212" s="192">
        <v>510.73814485619818</v>
      </c>
      <c r="P212" s="192">
        <v>456143.22736175521</v>
      </c>
    </row>
    <row r="213" spans="1:16" x14ac:dyDescent="0.25">
      <c r="A213" s="175">
        <v>1</v>
      </c>
      <c r="B213" s="193"/>
      <c r="C213" s="198"/>
      <c r="D213" s="178"/>
      <c r="E213" s="246"/>
      <c r="F213" s="230"/>
      <c r="G213" s="192"/>
      <c r="H213" s="192"/>
      <c r="I213" s="192"/>
      <c r="J213" s="192"/>
      <c r="K213" s="192"/>
      <c r="L213" s="192"/>
      <c r="M213" s="192"/>
      <c r="N213" s="192"/>
      <c r="O213" s="192"/>
      <c r="P213" s="192"/>
    </row>
    <row r="214" spans="1:16" x14ac:dyDescent="0.25">
      <c r="A214" s="175">
        <v>1</v>
      </c>
      <c r="B214" s="193" t="s">
        <v>1622</v>
      </c>
      <c r="C214" s="198"/>
      <c r="D214" s="178">
        <v>4144</v>
      </c>
      <c r="E214" s="246">
        <v>15.3451</v>
      </c>
      <c r="F214" s="195">
        <v>30.635900000000003</v>
      </c>
      <c r="G214" s="192">
        <v>5005.6114003832099</v>
      </c>
      <c r="H214" s="192">
        <v>0</v>
      </c>
      <c r="I214" s="192">
        <v>0</v>
      </c>
      <c r="J214" s="192">
        <v>237256.96242274583</v>
      </c>
      <c r="K214" s="192">
        <v>0</v>
      </c>
      <c r="L214" s="192">
        <v>214987.93695997179</v>
      </c>
      <c r="M214" s="192">
        <v>0</v>
      </c>
      <c r="N214" s="192">
        <v>0</v>
      </c>
      <c r="O214" s="192">
        <v>512.55185514380184</v>
      </c>
      <c r="P214" s="192">
        <v>457763.06263824465</v>
      </c>
    </row>
    <row r="215" spans="1:16" x14ac:dyDescent="0.25">
      <c r="A215" s="175">
        <v>1</v>
      </c>
      <c r="B215" s="193"/>
      <c r="C215" s="198"/>
      <c r="D215" s="178"/>
      <c r="E215" s="246"/>
      <c r="F215" s="230"/>
      <c r="G215" s="192"/>
      <c r="H215" s="192"/>
      <c r="I215" s="192"/>
      <c r="J215" s="192"/>
      <c r="K215" s="192"/>
      <c r="L215" s="192"/>
      <c r="M215" s="192"/>
      <c r="N215" s="192"/>
      <c r="O215" s="192"/>
      <c r="P215" s="192">
        <v>0</v>
      </c>
    </row>
    <row r="216" spans="1:16" x14ac:dyDescent="0.25">
      <c r="A216" s="175">
        <v>1</v>
      </c>
      <c r="B216" s="193" t="s">
        <v>1623</v>
      </c>
      <c r="C216" s="198"/>
      <c r="D216" s="178">
        <v>4102</v>
      </c>
      <c r="E216" s="246">
        <v>0.30280000000000001</v>
      </c>
      <c r="F216" s="195">
        <v>8.4268000000000001</v>
      </c>
      <c r="G216" s="192">
        <v>52682.325332510562</v>
      </c>
      <c r="H216" s="192">
        <v>0</v>
      </c>
      <c r="I216" s="192">
        <v>0</v>
      </c>
      <c r="J216" s="192">
        <v>74923.999361086069</v>
      </c>
      <c r="K216" s="192">
        <v>17984.070236388663</v>
      </c>
      <c r="L216" s="192">
        <v>49985.611558361423</v>
      </c>
      <c r="M216" s="192">
        <v>0</v>
      </c>
      <c r="N216" s="192">
        <v>0</v>
      </c>
      <c r="O216" s="192">
        <v>0</v>
      </c>
      <c r="P216" s="192">
        <v>195576.0064883467</v>
      </c>
    </row>
    <row r="217" spans="1:16" x14ac:dyDescent="0.25">
      <c r="A217" s="175">
        <v>1</v>
      </c>
      <c r="B217" s="193"/>
      <c r="C217" s="198"/>
      <c r="D217" s="178"/>
      <c r="E217" s="246"/>
      <c r="F217" s="230"/>
      <c r="G217" s="192"/>
      <c r="H217" s="192"/>
      <c r="I217" s="192"/>
      <c r="J217" s="192"/>
      <c r="K217" s="192"/>
      <c r="L217" s="192"/>
      <c r="M217" s="192"/>
      <c r="N217" s="192"/>
      <c r="O217" s="192"/>
      <c r="P217" s="192"/>
    </row>
    <row r="218" spans="1:16" x14ac:dyDescent="0.25">
      <c r="A218" s="175">
        <v>1</v>
      </c>
      <c r="B218" s="193" t="s">
        <v>1624</v>
      </c>
      <c r="C218" s="198"/>
      <c r="D218" s="178">
        <v>4156</v>
      </c>
      <c r="E218" s="246">
        <v>6.3963999999999999</v>
      </c>
      <c r="F218" s="195">
        <v>29.492999999999999</v>
      </c>
      <c r="G218" s="192">
        <v>2608027.8464659411</v>
      </c>
      <c r="H218" s="192">
        <v>0</v>
      </c>
      <c r="I218" s="192">
        <v>0</v>
      </c>
      <c r="J218" s="192">
        <v>490731.15736425592</v>
      </c>
      <c r="K218" s="192">
        <v>1404683.4010170549</v>
      </c>
      <c r="L218" s="192">
        <v>644416.91124456655</v>
      </c>
      <c r="M218" s="192">
        <v>0</v>
      </c>
      <c r="N218" s="192">
        <v>0</v>
      </c>
      <c r="O218" s="192">
        <v>8298.2277990031544</v>
      </c>
      <c r="P218" s="192">
        <v>5156157.5438908208</v>
      </c>
    </row>
    <row r="219" spans="1:16" x14ac:dyDescent="0.25">
      <c r="A219" s="175">
        <v>1</v>
      </c>
      <c r="B219" s="193"/>
      <c r="C219" s="198"/>
      <c r="D219" s="178"/>
      <c r="E219" s="246"/>
      <c r="F219" s="230"/>
      <c r="G219" s="192"/>
      <c r="H219" s="192"/>
      <c r="I219" s="192"/>
      <c r="J219" s="192"/>
      <c r="K219" s="192"/>
      <c r="L219" s="192"/>
      <c r="M219" s="192"/>
      <c r="N219" s="192"/>
      <c r="O219" s="192"/>
      <c r="P219" s="192"/>
    </row>
    <row r="220" spans="1:16" x14ac:dyDescent="0.25">
      <c r="A220" s="175">
        <v>1</v>
      </c>
      <c r="B220" s="193" t="s">
        <v>1625</v>
      </c>
      <c r="C220" s="198"/>
      <c r="D220" s="178">
        <v>4156</v>
      </c>
      <c r="E220" s="246">
        <v>14.755600000000001</v>
      </c>
      <c r="F220" s="195">
        <v>29.492999999999999</v>
      </c>
      <c r="G220" s="192">
        <v>6016355.4016810777</v>
      </c>
      <c r="H220" s="192">
        <v>0</v>
      </c>
      <c r="I220" s="192">
        <v>0</v>
      </c>
      <c r="J220" s="192">
        <v>1132048.1310743568</v>
      </c>
      <c r="K220" s="192">
        <v>3240408.1033154987</v>
      </c>
      <c r="L220" s="192">
        <v>1486579.6659934225</v>
      </c>
      <c r="M220" s="192">
        <v>0</v>
      </c>
      <c r="N220" s="192">
        <v>0</v>
      </c>
      <c r="O220" s="192">
        <v>19142.850683348595</v>
      </c>
      <c r="P220" s="192">
        <v>11894534.152747704</v>
      </c>
    </row>
    <row r="221" spans="1:16" x14ac:dyDescent="0.25">
      <c r="A221" s="175">
        <v>1</v>
      </c>
      <c r="B221" s="193"/>
      <c r="C221" s="198"/>
      <c r="D221" s="178"/>
      <c r="E221" s="246"/>
      <c r="F221" s="230"/>
      <c r="G221" s="192"/>
      <c r="H221" s="192"/>
      <c r="I221" s="192"/>
      <c r="J221" s="192"/>
      <c r="K221" s="192"/>
      <c r="L221" s="192"/>
      <c r="M221" s="192"/>
      <c r="N221" s="192"/>
      <c r="O221" s="192"/>
      <c r="P221" s="192"/>
    </row>
    <row r="222" spans="1:16" x14ac:dyDescent="0.25">
      <c r="A222" s="175">
        <v>1</v>
      </c>
      <c r="B222" s="193" t="s">
        <v>828</v>
      </c>
      <c r="C222" s="198"/>
      <c r="D222" s="178">
        <v>4119</v>
      </c>
      <c r="E222" s="246">
        <v>0.45810000000000001</v>
      </c>
      <c r="F222" s="257"/>
      <c r="G222" s="258"/>
      <c r="H222" s="258"/>
      <c r="I222" s="258"/>
      <c r="J222" s="258"/>
      <c r="K222" s="258"/>
      <c r="L222" s="258"/>
      <c r="M222" s="258"/>
      <c r="N222" s="258"/>
      <c r="O222" s="258"/>
      <c r="P222" s="258"/>
    </row>
    <row r="223" spans="1:16" x14ac:dyDescent="0.25">
      <c r="A223" s="175">
        <v>1</v>
      </c>
      <c r="B223" s="193" t="s">
        <v>1738</v>
      </c>
      <c r="C223" s="198"/>
      <c r="D223" s="178">
        <v>4118</v>
      </c>
      <c r="E223" s="246">
        <v>6.89</v>
      </c>
      <c r="F223" s="257"/>
      <c r="G223" s="258"/>
      <c r="H223" s="258"/>
      <c r="I223" s="258"/>
      <c r="J223" s="258"/>
      <c r="K223" s="258"/>
      <c r="L223" s="258"/>
      <c r="M223" s="258"/>
      <c r="N223" s="258"/>
      <c r="O223" s="258"/>
      <c r="P223" s="258"/>
    </row>
    <row r="224" spans="1:16" x14ac:dyDescent="0.25">
      <c r="A224" s="175">
        <v>1</v>
      </c>
      <c r="B224" s="193" t="s">
        <v>1626</v>
      </c>
      <c r="D224" s="178">
        <v>4119</v>
      </c>
      <c r="E224" s="246">
        <v>6.8068</v>
      </c>
      <c r="F224" s="195">
        <v>137.6463</v>
      </c>
      <c r="G224" s="192">
        <v>103837.00229260066</v>
      </c>
      <c r="H224" s="192">
        <v>3553.5591266892025</v>
      </c>
      <c r="I224" s="192">
        <v>4.9891501042890365</v>
      </c>
      <c r="J224" s="192">
        <v>392073.1056833929</v>
      </c>
      <c r="K224" s="192">
        <v>4212.0839177515127</v>
      </c>
      <c r="L224" s="192">
        <v>734187.11473296408</v>
      </c>
      <c r="M224" s="192">
        <v>0</v>
      </c>
      <c r="N224" s="192">
        <v>0</v>
      </c>
      <c r="O224" s="192">
        <v>2592.7667087019413</v>
      </c>
      <c r="P224" s="192">
        <v>1240460.6216122045</v>
      </c>
    </row>
    <row r="225" spans="1:16" x14ac:dyDescent="0.25">
      <c r="A225" s="175">
        <v>1</v>
      </c>
      <c r="B225" s="193"/>
      <c r="C225" s="198"/>
      <c r="D225" s="178"/>
      <c r="E225" s="246"/>
      <c r="F225" s="230"/>
      <c r="G225" s="192"/>
      <c r="H225" s="192"/>
      <c r="I225" s="192"/>
      <c r="J225" s="192"/>
      <c r="K225" s="192"/>
      <c r="L225" s="192"/>
      <c r="M225" s="192"/>
      <c r="N225" s="192"/>
      <c r="O225" s="192"/>
      <c r="P225" s="192"/>
    </row>
    <row r="226" spans="1:16" x14ac:dyDescent="0.25">
      <c r="A226" s="175">
        <v>1</v>
      </c>
      <c r="B226" s="193"/>
      <c r="C226" s="198"/>
      <c r="D226" s="178"/>
      <c r="E226" s="246"/>
      <c r="F226" s="230"/>
      <c r="G226" s="192"/>
      <c r="H226" s="192"/>
      <c r="I226" s="192"/>
      <c r="J226" s="192"/>
      <c r="K226" s="192"/>
      <c r="L226" s="192"/>
      <c r="M226" s="192"/>
      <c r="N226" s="192"/>
      <c r="O226" s="192"/>
      <c r="P226" s="192"/>
    </row>
    <row r="227" spans="1:16" x14ac:dyDescent="0.25">
      <c r="A227" s="175">
        <v>1</v>
      </c>
      <c r="B227" s="193" t="s">
        <v>829</v>
      </c>
      <c r="C227" s="198"/>
      <c r="D227" s="178">
        <v>4118</v>
      </c>
      <c r="E227" s="246">
        <v>0.4572</v>
      </c>
      <c r="F227" s="257"/>
      <c r="G227" s="258"/>
      <c r="H227" s="258"/>
      <c r="I227" s="258"/>
      <c r="J227" s="258"/>
      <c r="K227" s="258"/>
      <c r="L227" s="258"/>
      <c r="M227" s="258"/>
      <c r="N227" s="258"/>
      <c r="O227" s="258"/>
      <c r="P227" s="258"/>
    </row>
    <row r="228" spans="1:16" x14ac:dyDescent="0.25">
      <c r="A228" s="175">
        <v>1</v>
      </c>
      <c r="B228" s="193" t="s">
        <v>1739</v>
      </c>
      <c r="C228" s="198"/>
      <c r="D228" s="178">
        <v>4117</v>
      </c>
      <c r="E228" s="246">
        <v>14.54</v>
      </c>
      <c r="F228" s="257"/>
      <c r="G228" s="258"/>
      <c r="H228" s="258"/>
      <c r="I228" s="258"/>
      <c r="J228" s="258"/>
      <c r="K228" s="258"/>
      <c r="L228" s="258"/>
      <c r="M228" s="258"/>
      <c r="N228" s="258"/>
      <c r="O228" s="258"/>
      <c r="P228" s="258"/>
    </row>
    <row r="229" spans="1:16" x14ac:dyDescent="0.25">
      <c r="A229" s="175">
        <v>1</v>
      </c>
      <c r="B229" s="235"/>
      <c r="C229" s="193" t="s">
        <v>1627</v>
      </c>
      <c r="D229" s="178">
        <v>4118</v>
      </c>
      <c r="E229" s="246">
        <v>15.0502</v>
      </c>
      <c r="F229" s="195">
        <v>155.75350000000003</v>
      </c>
      <c r="G229" s="192">
        <v>533145.01786854456</v>
      </c>
      <c r="H229" s="192">
        <v>12671.250625912795</v>
      </c>
      <c r="I229" s="192">
        <v>212.99924821824462</v>
      </c>
      <c r="J229" s="192">
        <v>1687477.9846401915</v>
      </c>
      <c r="K229" s="192">
        <v>23115.35083749389</v>
      </c>
      <c r="L229" s="192">
        <v>1366381.6528258324</v>
      </c>
      <c r="M229" s="192">
        <v>0</v>
      </c>
      <c r="N229" s="192">
        <v>0</v>
      </c>
      <c r="O229" s="192">
        <v>17791.829654320674</v>
      </c>
      <c r="P229" s="192">
        <v>3640796.0857005138</v>
      </c>
    </row>
    <row r="230" spans="1:16" x14ac:dyDescent="0.25">
      <c r="A230" s="175">
        <v>1</v>
      </c>
      <c r="B230" s="193"/>
      <c r="C230" s="198"/>
      <c r="D230" s="178"/>
      <c r="E230" s="246"/>
      <c r="F230" s="230"/>
      <c r="G230" s="192"/>
      <c r="H230" s="192"/>
      <c r="I230" s="192"/>
      <c r="J230" s="192"/>
      <c r="K230" s="192"/>
      <c r="L230" s="192"/>
      <c r="M230" s="192"/>
      <c r="N230" s="192"/>
      <c r="O230" s="192"/>
      <c r="P230" s="192"/>
    </row>
    <row r="231" spans="1:16" x14ac:dyDescent="0.25">
      <c r="A231" s="175">
        <v>1</v>
      </c>
      <c r="B231" s="193" t="s">
        <v>1628</v>
      </c>
      <c r="C231" s="198"/>
      <c r="D231" s="178">
        <v>4104</v>
      </c>
      <c r="E231" s="246">
        <v>8.3015000000000008</v>
      </c>
      <c r="F231" s="195">
        <v>143.64699999999999</v>
      </c>
      <c r="G231" s="192">
        <v>76916.930252943013</v>
      </c>
      <c r="H231" s="192">
        <v>0</v>
      </c>
      <c r="I231" s="192">
        <v>0</v>
      </c>
      <c r="J231" s="192">
        <v>336028.03343425208</v>
      </c>
      <c r="K231" s="192">
        <v>10177.173667079718</v>
      </c>
      <c r="L231" s="192">
        <v>181041.3620337703</v>
      </c>
      <c r="M231" s="192">
        <v>0</v>
      </c>
      <c r="N231" s="192">
        <v>0</v>
      </c>
      <c r="O231" s="192">
        <v>13310.986137269163</v>
      </c>
      <c r="P231" s="192">
        <v>617474.48552531435</v>
      </c>
    </row>
    <row r="232" spans="1:16" x14ac:dyDescent="0.25">
      <c r="A232" s="175">
        <v>1</v>
      </c>
      <c r="B232" s="193" t="s">
        <v>1628</v>
      </c>
      <c r="C232" s="198"/>
      <c r="D232" s="178">
        <v>4118</v>
      </c>
      <c r="E232" s="618">
        <v>25.529499999999999</v>
      </c>
      <c r="F232" s="196">
        <v>155.75350000000003</v>
      </c>
      <c r="G232" s="197">
        <v>904368.42923516023</v>
      </c>
      <c r="H232" s="197">
        <v>21494.112560247751</v>
      </c>
      <c r="I232" s="197">
        <v>361.30844157470835</v>
      </c>
      <c r="J232" s="197">
        <v>2862451.6092059752</v>
      </c>
      <c r="K232" s="197">
        <v>39210.33270028307</v>
      </c>
      <c r="L232" s="197">
        <v>2317779.1926896046</v>
      </c>
      <c r="M232" s="197">
        <v>0</v>
      </c>
      <c r="N232" s="197">
        <v>0</v>
      </c>
      <c r="O232" s="197">
        <v>30180.098281749059</v>
      </c>
      <c r="P232" s="197">
        <v>6175845.0831145942</v>
      </c>
    </row>
    <row r="233" spans="1:16" x14ac:dyDescent="0.25">
      <c r="A233" s="175">
        <v>1</v>
      </c>
      <c r="B233" s="193"/>
      <c r="C233" s="198" t="s">
        <v>1629</v>
      </c>
      <c r="D233" s="178"/>
      <c r="E233" s="246">
        <v>33.831000000000003</v>
      </c>
      <c r="F233" s="253">
        <v>299.40050000000002</v>
      </c>
      <c r="G233" s="192">
        <v>981285.35948810331</v>
      </c>
      <c r="H233" s="192">
        <v>21494.112560247751</v>
      </c>
      <c r="I233" s="192">
        <v>361.30844157470835</v>
      </c>
      <c r="J233" s="192">
        <v>3198479.6426402275</v>
      </c>
      <c r="K233" s="192">
        <v>49387.506367362788</v>
      </c>
      <c r="L233" s="192">
        <v>2498820.554723375</v>
      </c>
      <c r="M233" s="192">
        <v>0</v>
      </c>
      <c r="N233" s="192">
        <v>0</v>
      </c>
      <c r="O233" s="192">
        <v>43491.084419018225</v>
      </c>
      <c r="P233" s="192">
        <v>6793319.5686399089</v>
      </c>
    </row>
    <row r="234" spans="1:16" x14ac:dyDescent="0.25">
      <c r="A234" s="175">
        <v>1</v>
      </c>
      <c r="B234" s="193"/>
      <c r="C234" s="198"/>
      <c r="D234" s="178"/>
      <c r="E234" s="246"/>
      <c r="F234" s="230"/>
      <c r="G234" s="192"/>
      <c r="H234" s="192"/>
      <c r="I234" s="192"/>
      <c r="J234" s="192"/>
      <c r="K234" s="192"/>
      <c r="L234" s="192"/>
      <c r="M234" s="192"/>
      <c r="N234" s="192"/>
      <c r="O234" s="192"/>
      <c r="P234" s="192"/>
    </row>
    <row r="235" spans="1:16" x14ac:dyDescent="0.25">
      <c r="A235" s="175">
        <v>1</v>
      </c>
      <c r="B235" s="193" t="s">
        <v>1630</v>
      </c>
      <c r="C235" s="198"/>
      <c r="D235" s="178">
        <v>4118</v>
      </c>
      <c r="E235" s="246">
        <v>15.322399999999998</v>
      </c>
      <c r="F235" s="195">
        <v>155.75350000000003</v>
      </c>
      <c r="G235" s="192">
        <v>542787.55244375404</v>
      </c>
      <c r="H235" s="192">
        <v>12900.424618309802</v>
      </c>
      <c r="I235" s="192">
        <v>216.85158209852568</v>
      </c>
      <c r="J235" s="192">
        <v>1717997.9450007884</v>
      </c>
      <c r="K235" s="192">
        <v>23533.418271678536</v>
      </c>
      <c r="L235" s="192">
        <v>1391094.2204926533</v>
      </c>
      <c r="M235" s="192">
        <v>0</v>
      </c>
      <c r="N235" s="192">
        <v>0</v>
      </c>
      <c r="O235" s="192">
        <v>18113.61514766336</v>
      </c>
      <c r="P235" s="192">
        <v>3706644.0275569456</v>
      </c>
    </row>
    <row r="236" spans="1:16" x14ac:dyDescent="0.25">
      <c r="A236" s="175">
        <v>1</v>
      </c>
      <c r="B236" s="193"/>
      <c r="C236" s="198"/>
      <c r="D236" s="178"/>
      <c r="E236" s="246"/>
      <c r="F236" s="230"/>
      <c r="G236" s="192"/>
      <c r="H236" s="192"/>
      <c r="I236" s="192"/>
      <c r="J236" s="192"/>
      <c r="K236" s="192"/>
      <c r="L236" s="192"/>
      <c r="M236" s="192"/>
      <c r="N236" s="192"/>
      <c r="O236" s="192"/>
      <c r="P236" s="192"/>
    </row>
    <row r="237" spans="1:16" x14ac:dyDescent="0.25">
      <c r="A237" s="175">
        <v>1</v>
      </c>
      <c r="B237" s="193" t="s">
        <v>1631</v>
      </c>
      <c r="C237" s="198"/>
      <c r="D237" s="178">
        <v>4125</v>
      </c>
      <c r="E237" s="246">
        <v>49.395899999999997</v>
      </c>
      <c r="F237" s="195">
        <v>414.74720000000002</v>
      </c>
      <c r="G237" s="192">
        <v>1359466.7557032448</v>
      </c>
      <c r="H237" s="192">
        <v>210777.66326984487</v>
      </c>
      <c r="I237" s="192">
        <v>228.44462783353327</v>
      </c>
      <c r="J237" s="192">
        <v>3728028.0774654555</v>
      </c>
      <c r="K237" s="192">
        <v>58611.262508397878</v>
      </c>
      <c r="L237" s="192">
        <v>1644289.3979653867</v>
      </c>
      <c r="M237" s="192">
        <v>0</v>
      </c>
      <c r="N237" s="192">
        <v>0</v>
      </c>
      <c r="O237" s="192">
        <v>212134.43101415993</v>
      </c>
      <c r="P237" s="192">
        <v>7213536.0325543229</v>
      </c>
    </row>
    <row r="238" spans="1:16" x14ac:dyDescent="0.25">
      <c r="A238" s="175">
        <v>1</v>
      </c>
      <c r="B238" s="193"/>
      <c r="C238" s="198"/>
      <c r="D238" s="178"/>
      <c r="E238" s="246"/>
      <c r="F238" s="230"/>
      <c r="G238" s="192"/>
      <c r="H238" s="192"/>
      <c r="I238" s="192"/>
      <c r="J238" s="192"/>
      <c r="K238" s="192"/>
      <c r="L238" s="192"/>
      <c r="M238" s="192"/>
      <c r="N238" s="192"/>
      <c r="O238" s="192"/>
      <c r="P238" s="192"/>
    </row>
    <row r="239" spans="1:16" x14ac:dyDescent="0.25">
      <c r="A239" s="175">
        <v>1</v>
      </c>
      <c r="B239" s="193" t="s">
        <v>1632</v>
      </c>
      <c r="C239" s="198"/>
      <c r="D239" s="178">
        <v>4125</v>
      </c>
      <c r="E239" s="246">
        <v>49.3932</v>
      </c>
      <c r="F239" s="195">
        <v>414.74720000000002</v>
      </c>
      <c r="G239" s="192">
        <v>1359392.4466970239</v>
      </c>
      <c r="H239" s="192">
        <v>210766.14207697607</v>
      </c>
      <c r="I239" s="192">
        <v>228.43214095719031</v>
      </c>
      <c r="J239" s="192">
        <v>3727824.3019332932</v>
      </c>
      <c r="K239" s="192">
        <v>58608.058792932177</v>
      </c>
      <c r="L239" s="192">
        <v>1644199.5204376061</v>
      </c>
      <c r="M239" s="192">
        <v>0</v>
      </c>
      <c r="N239" s="192">
        <v>0</v>
      </c>
      <c r="O239" s="192">
        <v>212122.83565981398</v>
      </c>
      <c r="P239" s="192">
        <v>7213141.7377386028</v>
      </c>
    </row>
    <row r="240" spans="1:16" x14ac:dyDescent="0.25">
      <c r="A240" s="175">
        <v>1</v>
      </c>
      <c r="B240" s="193"/>
      <c r="C240" s="259"/>
      <c r="D240" s="178"/>
      <c r="E240" s="246"/>
      <c r="F240" s="230"/>
      <c r="G240" s="192"/>
      <c r="H240" s="192"/>
      <c r="I240" s="192"/>
      <c r="J240" s="192"/>
      <c r="K240" s="192"/>
      <c r="L240" s="192"/>
      <c r="M240" s="192"/>
      <c r="N240" s="192"/>
      <c r="O240" s="192"/>
      <c r="P240" s="192"/>
    </row>
    <row r="241" spans="1:16" x14ac:dyDescent="0.25">
      <c r="A241" s="175">
        <v>1</v>
      </c>
      <c r="B241" s="193" t="s">
        <v>1633</v>
      </c>
      <c r="C241" s="193"/>
      <c r="D241" s="178">
        <v>4114</v>
      </c>
      <c r="E241" s="246">
        <v>8.6743000000000006</v>
      </c>
      <c r="F241" s="195">
        <v>129.55309999999997</v>
      </c>
      <c r="G241" s="192">
        <v>214966.61212590057</v>
      </c>
      <c r="H241" s="192">
        <v>36123.125050323004</v>
      </c>
      <c r="I241" s="192">
        <v>44269.793833655865</v>
      </c>
      <c r="J241" s="192">
        <v>906081.67823426879</v>
      </c>
      <c r="K241" s="192">
        <v>9904.0901278935089</v>
      </c>
      <c r="L241" s="192">
        <v>648269.46920210344</v>
      </c>
      <c r="M241" s="192">
        <v>0</v>
      </c>
      <c r="N241" s="192">
        <v>0</v>
      </c>
      <c r="O241" s="192">
        <v>20365.944151425178</v>
      </c>
      <c r="P241" s="192">
        <v>1879980.7127255704</v>
      </c>
    </row>
    <row r="242" spans="1:16" x14ac:dyDescent="0.25">
      <c r="A242" s="175">
        <v>1</v>
      </c>
      <c r="B242" s="193"/>
      <c r="C242" s="193"/>
      <c r="D242" s="178"/>
      <c r="E242" s="246"/>
      <c r="F242" s="230"/>
      <c r="G242" s="192"/>
      <c r="H242" s="192"/>
      <c r="I242" s="192"/>
      <c r="J242" s="192"/>
      <c r="K242" s="192"/>
      <c r="L242" s="192"/>
      <c r="M242" s="192"/>
      <c r="N242" s="192"/>
      <c r="O242" s="192"/>
      <c r="P242" s="192"/>
    </row>
    <row r="243" spans="1:16" x14ac:dyDescent="0.25">
      <c r="A243" s="175">
        <v>1</v>
      </c>
      <c r="B243" s="193" t="s">
        <v>1634</v>
      </c>
      <c r="C243" s="193"/>
      <c r="D243" s="178">
        <v>4114</v>
      </c>
      <c r="E243" s="246">
        <v>13.9123</v>
      </c>
      <c r="F243" s="195">
        <v>129.55309999999997</v>
      </c>
      <c r="G243" s="192">
        <v>344774.79426341795</v>
      </c>
      <c r="H243" s="192">
        <v>57936.173828160048</v>
      </c>
      <c r="I243" s="192">
        <v>71002.231044807137</v>
      </c>
      <c r="J243" s="192">
        <v>1453221.6008321843</v>
      </c>
      <c r="K243" s="192">
        <v>15884.70229140021</v>
      </c>
      <c r="L243" s="192">
        <v>1039728.7776973845</v>
      </c>
      <c r="M243" s="192">
        <v>0</v>
      </c>
      <c r="N243" s="192">
        <v>0</v>
      </c>
      <c r="O243" s="192">
        <v>32663.975746500862</v>
      </c>
      <c r="P243" s="192">
        <v>3015212.2557038548</v>
      </c>
    </row>
    <row r="244" spans="1:16" x14ac:dyDescent="0.25">
      <c r="A244" s="175">
        <v>1</v>
      </c>
      <c r="B244" s="193"/>
      <c r="C244" s="193"/>
      <c r="D244" s="178"/>
      <c r="E244" s="246"/>
      <c r="F244" s="230"/>
      <c r="G244" s="192"/>
      <c r="H244" s="192"/>
      <c r="I244" s="192"/>
      <c r="J244" s="192"/>
      <c r="K244" s="192"/>
      <c r="L244" s="192"/>
      <c r="M244" s="192"/>
      <c r="N244" s="192"/>
      <c r="O244" s="192"/>
      <c r="P244" s="192"/>
    </row>
    <row r="245" spans="1:16" x14ac:dyDescent="0.25">
      <c r="A245" s="175">
        <v>1</v>
      </c>
      <c r="B245" s="193" t="s">
        <v>1635</v>
      </c>
      <c r="C245" s="193"/>
      <c r="D245" s="178">
        <v>4101</v>
      </c>
      <c r="E245" s="246">
        <v>27.420200000000001</v>
      </c>
      <c r="F245" s="195">
        <v>354.28050000000002</v>
      </c>
      <c r="G245" s="192">
        <v>112902.36633119239</v>
      </c>
      <c r="H245" s="192">
        <v>21530.364367415081</v>
      </c>
      <c r="I245" s="192">
        <v>7621.6400190188288</v>
      </c>
      <c r="J245" s="192">
        <v>1725957.8822101189</v>
      </c>
      <c r="K245" s="192">
        <v>106966.64054946291</v>
      </c>
      <c r="L245" s="192">
        <v>2356212.3554489734</v>
      </c>
      <c r="M245" s="192">
        <v>0</v>
      </c>
      <c r="N245" s="192">
        <v>0</v>
      </c>
      <c r="O245" s="192">
        <v>90344.483507091121</v>
      </c>
      <c r="P245" s="192">
        <v>4421535.7324332725</v>
      </c>
    </row>
    <row r="246" spans="1:16" x14ac:dyDescent="0.25">
      <c r="A246" s="175">
        <v>1</v>
      </c>
      <c r="B246" s="193"/>
      <c r="C246" s="193"/>
      <c r="D246" s="178"/>
      <c r="E246" s="246"/>
      <c r="F246" s="230"/>
      <c r="G246" s="192"/>
      <c r="H246" s="192"/>
      <c r="I246" s="192"/>
      <c r="J246" s="192"/>
      <c r="K246" s="192"/>
      <c r="L246" s="192"/>
      <c r="M246" s="192"/>
      <c r="N246" s="192"/>
      <c r="O246" s="192"/>
      <c r="P246" s="192"/>
    </row>
    <row r="247" spans="1:16" x14ac:dyDescent="0.25">
      <c r="A247" s="175">
        <v>1</v>
      </c>
      <c r="B247" s="193" t="s">
        <v>1636</v>
      </c>
      <c r="C247" s="193"/>
      <c r="D247" s="178">
        <v>4102</v>
      </c>
      <c r="E247" s="246">
        <v>3.0156999999999998</v>
      </c>
      <c r="F247" s="195">
        <v>8.4268000000000001</v>
      </c>
      <c r="G247" s="192">
        <v>524683.25133834907</v>
      </c>
      <c r="H247" s="192">
        <v>0</v>
      </c>
      <c r="I247" s="192">
        <v>0</v>
      </c>
      <c r="J247" s="192">
        <v>746196.51543337922</v>
      </c>
      <c r="K247" s="192">
        <v>179110.17375124601</v>
      </c>
      <c r="L247" s="192">
        <v>497825.65646152751</v>
      </c>
      <c r="M247" s="192">
        <v>0</v>
      </c>
      <c r="N247" s="192">
        <v>0</v>
      </c>
      <c r="O247" s="192">
        <v>0</v>
      </c>
      <c r="P247" s="192">
        <v>1947815.5969845017</v>
      </c>
    </row>
    <row r="248" spans="1:16" x14ac:dyDescent="0.25">
      <c r="A248" s="175">
        <v>1</v>
      </c>
      <c r="B248" s="193"/>
      <c r="C248" s="193"/>
      <c r="D248" s="178"/>
      <c r="E248" s="246"/>
      <c r="F248" s="230"/>
      <c r="G248" s="192"/>
      <c r="H248" s="192"/>
      <c r="I248" s="192"/>
      <c r="J248" s="192"/>
      <c r="K248" s="192"/>
      <c r="L248" s="192"/>
      <c r="M248" s="192"/>
      <c r="N248" s="192"/>
      <c r="O248" s="192"/>
      <c r="P248" s="192"/>
    </row>
    <row r="249" spans="1:16" x14ac:dyDescent="0.25">
      <c r="A249" s="175">
        <v>1</v>
      </c>
      <c r="B249" s="193" t="s">
        <v>1637</v>
      </c>
      <c r="C249" s="193"/>
      <c r="D249" s="178">
        <v>4102</v>
      </c>
      <c r="E249" s="246">
        <v>1.1515</v>
      </c>
      <c r="F249" s="195">
        <v>8.4268000000000001</v>
      </c>
      <c r="G249" s="192">
        <v>200342.46241871172</v>
      </c>
      <c r="H249" s="192">
        <v>0</v>
      </c>
      <c r="I249" s="192">
        <v>0</v>
      </c>
      <c r="J249" s="192">
        <v>284923.99360730051</v>
      </c>
      <c r="K249" s="192">
        <v>68390.544508591629</v>
      </c>
      <c r="L249" s="192">
        <v>190087.29098234206</v>
      </c>
      <c r="M249" s="192">
        <v>0</v>
      </c>
      <c r="N249" s="192">
        <v>0</v>
      </c>
      <c r="O249" s="192">
        <v>0</v>
      </c>
      <c r="P249" s="192">
        <v>743744.29151694593</v>
      </c>
    </row>
    <row r="250" spans="1:16" x14ac:dyDescent="0.25">
      <c r="A250" s="175">
        <v>1</v>
      </c>
      <c r="B250" s="193"/>
      <c r="C250" s="193"/>
      <c r="D250" s="178"/>
      <c r="E250" s="246"/>
      <c r="F250" s="230"/>
      <c r="G250" s="192"/>
      <c r="H250" s="192"/>
      <c r="I250" s="192"/>
      <c r="J250" s="192"/>
      <c r="K250" s="192"/>
      <c r="L250" s="192"/>
      <c r="M250" s="192"/>
      <c r="N250" s="192"/>
      <c r="O250" s="192"/>
      <c r="P250" s="192"/>
    </row>
    <row r="251" spans="1:16" x14ac:dyDescent="0.25">
      <c r="A251" s="175">
        <v>1</v>
      </c>
      <c r="B251" s="193" t="s">
        <v>1638</v>
      </c>
      <c r="C251" s="193"/>
      <c r="D251" s="178">
        <v>4115</v>
      </c>
      <c r="E251" s="246">
        <v>5.2325999999999997</v>
      </c>
      <c r="F251" s="195">
        <v>27.066800000000001</v>
      </c>
      <c r="G251" s="192">
        <v>310672.6511801912</v>
      </c>
      <c r="H251" s="192">
        <v>102776.55324818596</v>
      </c>
      <c r="I251" s="192">
        <v>415.38648706164003</v>
      </c>
      <c r="J251" s="192">
        <v>695790.9962412254</v>
      </c>
      <c r="K251" s="192">
        <v>76285.917417500401</v>
      </c>
      <c r="L251" s="192">
        <v>405249.24187314347</v>
      </c>
      <c r="M251" s="192">
        <v>0</v>
      </c>
      <c r="N251" s="192">
        <v>0</v>
      </c>
      <c r="O251" s="192">
        <v>5300.3205942335262</v>
      </c>
      <c r="P251" s="192">
        <v>1596491.0670415414</v>
      </c>
    </row>
    <row r="252" spans="1:16" x14ac:dyDescent="0.25">
      <c r="A252" s="175">
        <v>1</v>
      </c>
      <c r="B252" s="193" t="s">
        <v>1638</v>
      </c>
      <c r="C252" s="193"/>
      <c r="D252" s="178">
        <v>4116</v>
      </c>
      <c r="E252" s="618">
        <v>8.8285999999999998</v>
      </c>
      <c r="F252" s="196">
        <v>90.452699999999993</v>
      </c>
      <c r="G252" s="197">
        <v>347195.15517362778</v>
      </c>
      <c r="H252" s="197">
        <v>16894.13638263864</v>
      </c>
      <c r="I252" s="197">
        <v>199.44524783573817</v>
      </c>
      <c r="J252" s="197">
        <v>313956.96846464509</v>
      </c>
      <c r="K252" s="197">
        <v>989176.45757603704</v>
      </c>
      <c r="L252" s="197">
        <v>661596.16150111612</v>
      </c>
      <c r="M252" s="197">
        <v>0</v>
      </c>
      <c r="N252" s="197">
        <v>0</v>
      </c>
      <c r="O252" s="197">
        <v>1309.5280651778401</v>
      </c>
      <c r="P252" s="197">
        <v>2330327.8524110778</v>
      </c>
    </row>
    <row r="253" spans="1:16" x14ac:dyDescent="0.25">
      <c r="A253" s="175">
        <v>1</v>
      </c>
      <c r="B253" s="193"/>
      <c r="C253" s="193" t="s">
        <v>1639</v>
      </c>
      <c r="D253" s="178"/>
      <c r="E253" s="246">
        <v>14.061199999999999</v>
      </c>
      <c r="F253" s="253">
        <v>117.51949999999999</v>
      </c>
      <c r="G253" s="192">
        <v>657867.80635381897</v>
      </c>
      <c r="H253" s="192">
        <v>119670.68963082459</v>
      </c>
      <c r="I253" s="192">
        <v>614.83173489737817</v>
      </c>
      <c r="J253" s="192">
        <v>1009747.9647058705</v>
      </c>
      <c r="K253" s="192">
        <v>1065462.3749935376</v>
      </c>
      <c r="L253" s="192">
        <v>1066845.4033742596</v>
      </c>
      <c r="M253" s="192">
        <v>0</v>
      </c>
      <c r="N253" s="192">
        <v>0</v>
      </c>
      <c r="O253" s="192">
        <v>6609.8486594113665</v>
      </c>
      <c r="P253" s="192">
        <v>3926818.9194526193</v>
      </c>
    </row>
    <row r="254" spans="1:16" x14ac:dyDescent="0.25">
      <c r="A254" s="175">
        <v>1</v>
      </c>
      <c r="B254" s="193"/>
      <c r="C254" s="193"/>
      <c r="D254" s="178"/>
      <c r="E254" s="246"/>
      <c r="F254" s="230"/>
      <c r="G254" s="192"/>
      <c r="H254" s="192"/>
      <c r="I254" s="192"/>
      <c r="J254" s="192"/>
      <c r="K254" s="192"/>
      <c r="L254" s="192"/>
      <c r="M254" s="192"/>
      <c r="N254" s="192"/>
      <c r="O254" s="192"/>
      <c r="P254" s="192"/>
    </row>
    <row r="255" spans="1:16" x14ac:dyDescent="0.25">
      <c r="A255" s="175">
        <v>1</v>
      </c>
      <c r="B255" s="193" t="s">
        <v>1640</v>
      </c>
      <c r="C255" s="193"/>
      <c r="D255" s="178">
        <v>4115</v>
      </c>
      <c r="E255" s="246">
        <v>6.3531000000000004</v>
      </c>
      <c r="F255" s="195">
        <v>27.066800000000001</v>
      </c>
      <c r="G255" s="192">
        <v>377199.56048864301</v>
      </c>
      <c r="H255" s="192">
        <v>124784.94829359214</v>
      </c>
      <c r="I255" s="192">
        <v>504.33663779981379</v>
      </c>
      <c r="J255" s="192">
        <v>844786.4882123858</v>
      </c>
      <c r="K255" s="192">
        <v>92621.653087398576</v>
      </c>
      <c r="L255" s="192">
        <v>492028.6202928311</v>
      </c>
      <c r="M255" s="192">
        <v>0</v>
      </c>
      <c r="N255" s="192">
        <v>0</v>
      </c>
      <c r="O255" s="192">
        <v>6435.322166270118</v>
      </c>
      <c r="P255" s="192">
        <v>1938360.9291789206</v>
      </c>
    </row>
    <row r="256" spans="1:16" x14ac:dyDescent="0.25">
      <c r="A256" s="175">
        <v>1</v>
      </c>
      <c r="B256" s="193"/>
      <c r="C256" s="193"/>
      <c r="D256" s="178"/>
      <c r="E256" s="246"/>
      <c r="F256" s="230"/>
      <c r="G256" s="192"/>
      <c r="H256" s="192"/>
      <c r="I256" s="192"/>
      <c r="J256" s="192"/>
      <c r="K256" s="192"/>
      <c r="L256" s="192"/>
      <c r="M256" s="192"/>
      <c r="N256" s="192"/>
      <c r="O256" s="192"/>
      <c r="P256" s="192"/>
    </row>
    <row r="257" spans="1:16" x14ac:dyDescent="0.25">
      <c r="A257" s="175">
        <v>1</v>
      </c>
      <c r="B257" s="193" t="s">
        <v>1641</v>
      </c>
      <c r="C257" s="193"/>
      <c r="D257" s="178">
        <v>4127</v>
      </c>
      <c r="E257" s="617">
        <v>15.722000000000001</v>
      </c>
      <c r="F257" s="195">
        <v>85.088799999999992</v>
      </c>
      <c r="G257" s="192">
        <v>3666.326394778162</v>
      </c>
      <c r="H257" s="192">
        <v>0</v>
      </c>
      <c r="I257" s="192">
        <v>0</v>
      </c>
      <c r="J257" s="192">
        <v>119668.33167185343</v>
      </c>
      <c r="K257" s="192">
        <v>0</v>
      </c>
      <c r="L257" s="192">
        <v>101587.97993578475</v>
      </c>
      <c r="M257" s="192">
        <v>0</v>
      </c>
      <c r="N257" s="192">
        <v>0</v>
      </c>
      <c r="O257" s="192">
        <v>961.81416637677364</v>
      </c>
      <c r="P257" s="192">
        <v>225884.45216879313</v>
      </c>
    </row>
    <row r="258" spans="1:16" x14ac:dyDescent="0.25">
      <c r="A258" s="175">
        <v>1</v>
      </c>
      <c r="B258" s="193"/>
      <c r="C258" s="193"/>
      <c r="D258" s="178"/>
      <c r="E258" s="617"/>
      <c r="F258" s="230"/>
      <c r="G258" s="192"/>
      <c r="H258" s="192"/>
      <c r="I258" s="192"/>
      <c r="J258" s="192"/>
      <c r="K258" s="192"/>
      <c r="L258" s="192"/>
      <c r="M258" s="192"/>
      <c r="N258" s="192"/>
      <c r="O258" s="192"/>
      <c r="P258" s="211"/>
    </row>
    <row r="259" spans="1:16" x14ac:dyDescent="0.25">
      <c r="A259" s="175">
        <v>1</v>
      </c>
      <c r="B259" s="193" t="s">
        <v>1642</v>
      </c>
      <c r="C259" s="193"/>
      <c r="D259" s="178">
        <v>4127</v>
      </c>
      <c r="E259" s="617">
        <v>15.4147</v>
      </c>
      <c r="F259" s="195">
        <v>85.088799999999992</v>
      </c>
      <c r="G259" s="192">
        <v>3594.6648948980369</v>
      </c>
      <c r="H259" s="192">
        <v>0</v>
      </c>
      <c r="I259" s="192">
        <v>0</v>
      </c>
      <c r="J259" s="192">
        <v>117329.31129767963</v>
      </c>
      <c r="K259" s="192">
        <v>0</v>
      </c>
      <c r="L259" s="192">
        <v>99602.355572836852</v>
      </c>
      <c r="M259" s="192">
        <v>0</v>
      </c>
      <c r="N259" s="192">
        <v>0</v>
      </c>
      <c r="O259" s="192">
        <v>943.01468200280192</v>
      </c>
      <c r="P259" s="192">
        <v>221469.34644741731</v>
      </c>
    </row>
    <row r="260" spans="1:16" x14ac:dyDescent="0.25">
      <c r="A260" s="175">
        <v>1</v>
      </c>
      <c r="B260" s="193"/>
      <c r="C260" s="193"/>
      <c r="D260" s="178"/>
      <c r="E260" s="246"/>
      <c r="F260" s="230"/>
      <c r="G260" s="192"/>
      <c r="H260" s="192"/>
      <c r="I260" s="192"/>
      <c r="J260" s="192"/>
      <c r="K260" s="192"/>
      <c r="L260" s="192"/>
      <c r="M260" s="192"/>
      <c r="N260" s="192"/>
      <c r="O260" s="192"/>
      <c r="P260" s="192"/>
    </row>
    <row r="261" spans="1:16" x14ac:dyDescent="0.25">
      <c r="A261" s="175">
        <v>1</v>
      </c>
      <c r="B261" s="193" t="s">
        <v>1643</v>
      </c>
      <c r="C261" s="193"/>
      <c r="D261" s="178">
        <v>4156</v>
      </c>
      <c r="E261" s="246">
        <v>8.3410000000000011</v>
      </c>
      <c r="F261" s="195">
        <v>29.492999999999999</v>
      </c>
      <c r="G261" s="192">
        <v>3400906.801852983</v>
      </c>
      <c r="H261" s="192">
        <v>0</v>
      </c>
      <c r="I261" s="192">
        <v>0</v>
      </c>
      <c r="J261" s="192">
        <v>639920.67156138748</v>
      </c>
      <c r="K261" s="192">
        <v>1831727.8856674468</v>
      </c>
      <c r="L261" s="192">
        <v>840329.16276201152</v>
      </c>
      <c r="M261" s="192">
        <v>0</v>
      </c>
      <c r="N261" s="192">
        <v>0</v>
      </c>
      <c r="O261" s="192">
        <v>10821.01151764826</v>
      </c>
      <c r="P261" s="192">
        <v>6723705.5333614768</v>
      </c>
    </row>
    <row r="262" spans="1:16" x14ac:dyDescent="0.25">
      <c r="A262" s="175">
        <v>1</v>
      </c>
      <c r="B262" s="193"/>
      <c r="C262" s="193"/>
      <c r="D262" s="178"/>
      <c r="E262" s="246"/>
      <c r="F262" s="230"/>
      <c r="G262" s="192"/>
      <c r="H262" s="192"/>
      <c r="I262" s="192"/>
      <c r="J262" s="192"/>
      <c r="K262" s="192"/>
      <c r="L262" s="192"/>
      <c r="M262" s="192"/>
      <c r="N262" s="192"/>
      <c r="O262" s="192"/>
      <c r="P262" s="192"/>
    </row>
    <row r="263" spans="1:16" x14ac:dyDescent="0.25">
      <c r="A263" s="175">
        <v>1</v>
      </c>
      <c r="B263" s="193" t="s">
        <v>1644</v>
      </c>
      <c r="C263" s="193"/>
      <c r="D263" s="178">
        <v>4104</v>
      </c>
      <c r="E263" s="617">
        <v>46.817500000000003</v>
      </c>
      <c r="F263" s="195">
        <v>143.64699999999999</v>
      </c>
      <c r="G263" s="192">
        <v>433784.06096695282</v>
      </c>
      <c r="H263" s="192">
        <v>0</v>
      </c>
      <c r="I263" s="192">
        <v>0</v>
      </c>
      <c r="J263" s="192">
        <v>1895078.2937189781</v>
      </c>
      <c r="K263" s="192">
        <v>57395.630688249679</v>
      </c>
      <c r="L263" s="192">
        <v>1021008.7293881878</v>
      </c>
      <c r="M263" s="192">
        <v>0</v>
      </c>
      <c r="N263" s="192">
        <v>0</v>
      </c>
      <c r="O263" s="192">
        <v>75069.21562146589</v>
      </c>
      <c r="P263" s="192">
        <v>3482335.9303838341</v>
      </c>
    </row>
    <row r="264" spans="1:16" x14ac:dyDescent="0.25">
      <c r="A264" s="175">
        <v>1</v>
      </c>
      <c r="B264" s="193"/>
      <c r="C264" s="193"/>
      <c r="D264" s="178"/>
      <c r="E264" s="246"/>
      <c r="F264" s="230"/>
      <c r="G264" s="192"/>
      <c r="H264" s="192"/>
      <c r="I264" s="192"/>
      <c r="J264" s="192"/>
      <c r="K264" s="192"/>
      <c r="L264" s="192"/>
      <c r="M264" s="192"/>
      <c r="N264" s="192"/>
      <c r="O264" s="192"/>
      <c r="P264" s="192"/>
    </row>
    <row r="265" spans="1:16" x14ac:dyDescent="0.25">
      <c r="A265" s="175">
        <v>1</v>
      </c>
      <c r="B265" s="193" t="s">
        <v>1645</v>
      </c>
      <c r="C265" s="193"/>
      <c r="D265" s="178">
        <v>4135</v>
      </c>
      <c r="E265" s="246">
        <v>47.863399999999999</v>
      </c>
      <c r="F265" s="195">
        <v>206.1454</v>
      </c>
      <c r="G265" s="192">
        <v>414168.6635209521</v>
      </c>
      <c r="H265" s="192">
        <v>0</v>
      </c>
      <c r="I265" s="192">
        <v>0</v>
      </c>
      <c r="J265" s="192">
        <v>2135368.5476519396</v>
      </c>
      <c r="K265" s="192">
        <v>558700.340530316</v>
      </c>
      <c r="L265" s="192">
        <v>1552239.43563181</v>
      </c>
      <c r="M265" s="192">
        <v>0</v>
      </c>
      <c r="N265" s="192">
        <v>0</v>
      </c>
      <c r="O265" s="192">
        <v>22702.836098539559</v>
      </c>
      <c r="P265" s="192">
        <v>4683179.8234335575</v>
      </c>
    </row>
    <row r="266" spans="1:16" x14ac:dyDescent="0.25">
      <c r="A266" s="175">
        <v>1</v>
      </c>
      <c r="B266" s="193"/>
      <c r="C266" s="193"/>
      <c r="D266" s="178"/>
      <c r="E266" s="246"/>
      <c r="F266" s="230"/>
      <c r="G266" s="192"/>
      <c r="H266" s="192"/>
      <c r="I266" s="192"/>
      <c r="J266" s="192"/>
      <c r="K266" s="192"/>
      <c r="L266" s="192"/>
      <c r="M266" s="192"/>
      <c r="N266" s="192"/>
      <c r="O266" s="192"/>
      <c r="P266" s="192"/>
    </row>
    <row r="267" spans="1:16" x14ac:dyDescent="0.25">
      <c r="A267" s="175">
        <v>1</v>
      </c>
      <c r="B267" s="193" t="s">
        <v>1646</v>
      </c>
      <c r="C267" s="193"/>
      <c r="D267" s="178">
        <v>4135</v>
      </c>
      <c r="E267" s="246">
        <v>47.855899999999998</v>
      </c>
      <c r="F267" s="195">
        <v>206.1454</v>
      </c>
      <c r="G267" s="192">
        <v>414103.76497683686</v>
      </c>
      <c r="H267" s="192">
        <v>0</v>
      </c>
      <c r="I267" s="192">
        <v>0</v>
      </c>
      <c r="J267" s="192">
        <v>2135033.9440903999</v>
      </c>
      <c r="K267" s="192">
        <v>558612.79446058464</v>
      </c>
      <c r="L267" s="192">
        <v>1551996.2060290813</v>
      </c>
      <c r="M267" s="192">
        <v>0</v>
      </c>
      <c r="N267" s="192">
        <v>0</v>
      </c>
      <c r="O267" s="192">
        <v>22699.278656512062</v>
      </c>
      <c r="P267" s="192">
        <v>4682445.9882134143</v>
      </c>
    </row>
    <row r="268" spans="1:16" x14ac:dyDescent="0.25">
      <c r="A268" s="175">
        <v>1</v>
      </c>
      <c r="B268" s="193"/>
      <c r="C268" s="227"/>
      <c r="D268" s="178"/>
      <c r="E268" s="246"/>
      <c r="F268" s="230"/>
      <c r="G268" s="192"/>
      <c r="H268" s="192"/>
      <c r="I268" s="192"/>
      <c r="J268" s="192"/>
      <c r="K268" s="192"/>
      <c r="L268" s="192"/>
      <c r="M268" s="192"/>
      <c r="N268" s="192"/>
      <c r="O268" s="192"/>
      <c r="P268" s="192"/>
    </row>
    <row r="269" spans="1:16" x14ac:dyDescent="0.25">
      <c r="A269" s="175">
        <v>1</v>
      </c>
      <c r="B269" s="193" t="s">
        <v>1647</v>
      </c>
      <c r="C269" s="193"/>
      <c r="D269" s="178">
        <v>4116</v>
      </c>
      <c r="E269" s="246">
        <v>11.887400000000001</v>
      </c>
      <c r="F269" s="195">
        <v>90.452699999999993</v>
      </c>
      <c r="G269" s="192">
        <v>467486.08925661858</v>
      </c>
      <c r="H269" s="192">
        <v>22747.361624150897</v>
      </c>
      <c r="I269" s="192">
        <v>268.54602531800674</v>
      </c>
      <c r="J269" s="192">
        <v>422732.03757409129</v>
      </c>
      <c r="K269" s="192">
        <v>1331891.3782241109</v>
      </c>
      <c r="L269" s="192">
        <v>890816.00822648755</v>
      </c>
      <c r="M269" s="192">
        <v>0</v>
      </c>
      <c r="N269" s="192">
        <v>0</v>
      </c>
      <c r="O269" s="192">
        <v>1763.2335729328611</v>
      </c>
      <c r="P269" s="192">
        <v>3137704.6545037106</v>
      </c>
    </row>
    <row r="270" spans="1:16" x14ac:dyDescent="0.25">
      <c r="A270" s="175">
        <v>1</v>
      </c>
      <c r="B270" s="193"/>
      <c r="C270" s="193"/>
      <c r="D270" s="178"/>
      <c r="E270" s="246"/>
      <c r="F270" s="230"/>
      <c r="G270" s="192"/>
      <c r="H270" s="192"/>
      <c r="I270" s="192"/>
      <c r="J270" s="192"/>
      <c r="K270" s="192"/>
      <c r="L270" s="192"/>
      <c r="M270" s="192"/>
      <c r="N270" s="192"/>
      <c r="O270" s="192"/>
      <c r="P270" s="192"/>
    </row>
    <row r="271" spans="1:16" x14ac:dyDescent="0.25">
      <c r="A271" s="175">
        <v>1</v>
      </c>
      <c r="B271" s="193" t="s">
        <v>1648</v>
      </c>
      <c r="C271" s="193"/>
      <c r="D271" s="178">
        <v>4114</v>
      </c>
      <c r="E271" s="246">
        <v>7.0994999999999999</v>
      </c>
      <c r="F271" s="195">
        <v>129.55309999999997</v>
      </c>
      <c r="G271" s="192">
        <v>175939.89864171529</v>
      </c>
      <c r="H271" s="192">
        <v>29565.051507875927</v>
      </c>
      <c r="I271" s="192">
        <v>36232.710572846205</v>
      </c>
      <c r="J271" s="192">
        <v>741584.55144786218</v>
      </c>
      <c r="K271" s="192">
        <v>8106.0244472729746</v>
      </c>
      <c r="L271" s="192">
        <v>530577.57935514476</v>
      </c>
      <c r="M271" s="192">
        <v>0</v>
      </c>
      <c r="N271" s="192">
        <v>0</v>
      </c>
      <c r="O271" s="192">
        <v>16668.55198725465</v>
      </c>
      <c r="P271" s="192">
        <v>1538674.3679599722</v>
      </c>
    </row>
    <row r="272" spans="1:16" x14ac:dyDescent="0.25">
      <c r="A272" s="175">
        <v>1</v>
      </c>
      <c r="B272" s="193" t="s">
        <v>1648</v>
      </c>
      <c r="C272" s="193"/>
      <c r="D272" s="178">
        <v>4116</v>
      </c>
      <c r="E272" s="618">
        <v>9.7577999999999996</v>
      </c>
      <c r="F272" s="196">
        <v>90.452699999999993</v>
      </c>
      <c r="G272" s="197">
        <v>383737.04609487636</v>
      </c>
      <c r="H272" s="197">
        <v>18672.224814184734</v>
      </c>
      <c r="I272" s="197">
        <v>220.43663087370209</v>
      </c>
      <c r="J272" s="197">
        <v>347000.57844780758</v>
      </c>
      <c r="K272" s="197">
        <v>1093286.1425067908</v>
      </c>
      <c r="L272" s="197">
        <v>731228.39688009315</v>
      </c>
      <c r="M272" s="197">
        <v>0</v>
      </c>
      <c r="N272" s="197">
        <v>0</v>
      </c>
      <c r="O272" s="197">
        <v>1447.3543885092004</v>
      </c>
      <c r="P272" s="197">
        <v>2575592.1797631355</v>
      </c>
    </row>
    <row r="273" spans="1:16" x14ac:dyDescent="0.25">
      <c r="A273" s="175">
        <v>1</v>
      </c>
      <c r="B273" s="193"/>
      <c r="C273" s="193" t="s">
        <v>1649</v>
      </c>
      <c r="D273" s="178"/>
      <c r="E273" s="246">
        <v>16.857299999999999</v>
      </c>
      <c r="F273" s="253">
        <v>220.00579999999997</v>
      </c>
      <c r="G273" s="192">
        <v>559676.94473659166</v>
      </c>
      <c r="H273" s="192">
        <v>48237.276322060658</v>
      </c>
      <c r="I273" s="192">
        <v>36453.147203719906</v>
      </c>
      <c r="J273" s="192">
        <v>1088585.1298956699</v>
      </c>
      <c r="K273" s="192">
        <v>1101392.1669540638</v>
      </c>
      <c r="L273" s="192">
        <v>1261805.9762352379</v>
      </c>
      <c r="M273" s="192">
        <v>0</v>
      </c>
      <c r="N273" s="192">
        <v>0</v>
      </c>
      <c r="O273" s="192">
        <v>18115.906375763851</v>
      </c>
      <c r="P273" s="192">
        <v>4114266.547723108</v>
      </c>
    </row>
    <row r="274" spans="1:16" x14ac:dyDescent="0.25">
      <c r="A274" s="175">
        <v>1</v>
      </c>
      <c r="B274" s="193"/>
      <c r="C274" s="193"/>
      <c r="D274" s="178"/>
      <c r="E274" s="246"/>
      <c r="F274" s="230"/>
      <c r="G274" s="192"/>
      <c r="H274" s="192"/>
      <c r="I274" s="192"/>
      <c r="J274" s="192"/>
      <c r="K274" s="192"/>
      <c r="L274" s="192"/>
      <c r="M274" s="192"/>
      <c r="N274" s="192"/>
      <c r="O274" s="192"/>
      <c r="P274" s="192"/>
    </row>
    <row r="275" spans="1:16" x14ac:dyDescent="0.25">
      <c r="A275" s="175">
        <v>1</v>
      </c>
      <c r="B275" s="193" t="s">
        <v>1650</v>
      </c>
      <c r="C275" s="193"/>
      <c r="D275" s="178">
        <v>4116</v>
      </c>
      <c r="E275" s="246">
        <v>4.5289999999999999</v>
      </c>
      <c r="F275" s="195">
        <v>90.452699999999993</v>
      </c>
      <c r="G275" s="192">
        <v>178108.290984002</v>
      </c>
      <c r="H275" s="192">
        <v>8666.5545700304028</v>
      </c>
      <c r="I275" s="192">
        <v>102.31379011939133</v>
      </c>
      <c r="J275" s="192">
        <v>161057.37151715762</v>
      </c>
      <c r="K275" s="192">
        <v>507439.47810093011</v>
      </c>
      <c r="L275" s="192">
        <v>339393.4503135893</v>
      </c>
      <c r="M275" s="192">
        <v>0</v>
      </c>
      <c r="N275" s="192">
        <v>0</v>
      </c>
      <c r="O275" s="192">
        <v>671.77724749002527</v>
      </c>
      <c r="P275" s="192">
        <v>1195439.2365233188</v>
      </c>
    </row>
    <row r="276" spans="1:16" x14ac:dyDescent="0.25">
      <c r="A276" s="175">
        <v>1</v>
      </c>
      <c r="B276" s="193"/>
      <c r="C276" s="193"/>
      <c r="D276" s="178"/>
      <c r="E276" s="246"/>
      <c r="F276" s="230"/>
      <c r="G276" s="192"/>
      <c r="H276" s="192"/>
      <c r="I276" s="192"/>
      <c r="J276" s="192"/>
      <c r="K276" s="192"/>
      <c r="L276" s="192"/>
      <c r="M276" s="192"/>
      <c r="N276" s="192"/>
      <c r="O276" s="192"/>
      <c r="P276" s="192"/>
    </row>
    <row r="277" spans="1:16" x14ac:dyDescent="0.25">
      <c r="A277" s="175">
        <v>1</v>
      </c>
      <c r="B277" s="193" t="s">
        <v>1651</v>
      </c>
      <c r="C277" s="193"/>
      <c r="D277" s="178">
        <v>4116</v>
      </c>
      <c r="E277" s="246">
        <v>4.5295000000000005</v>
      </c>
      <c r="F277" s="195">
        <v>90.452699999999993</v>
      </c>
      <c r="G277" s="192">
        <v>178127.95407640477</v>
      </c>
      <c r="H277" s="192">
        <v>8667.5113545932236</v>
      </c>
      <c r="I277" s="192">
        <v>102.32508552567521</v>
      </c>
      <c r="J277" s="192">
        <v>161075.15219407497</v>
      </c>
      <c r="K277" s="192">
        <v>507495.49924004491</v>
      </c>
      <c r="L277" s="192">
        <v>339430.91923060344</v>
      </c>
      <c r="M277" s="192">
        <v>0</v>
      </c>
      <c r="N277" s="192">
        <v>0</v>
      </c>
      <c r="O277" s="192">
        <v>671.85141146082344</v>
      </c>
      <c r="P277" s="192">
        <v>1195571.2125927077</v>
      </c>
    </row>
    <row r="278" spans="1:16" x14ac:dyDescent="0.25">
      <c r="A278" s="175">
        <v>1</v>
      </c>
      <c r="B278" s="193"/>
      <c r="C278" s="193"/>
      <c r="D278" s="178"/>
      <c r="E278" s="246"/>
      <c r="F278" s="230"/>
      <c r="G278" s="192"/>
      <c r="H278" s="192"/>
      <c r="I278" s="192"/>
      <c r="J278" s="192"/>
      <c r="K278" s="192"/>
      <c r="L278" s="192"/>
      <c r="M278" s="192"/>
      <c r="N278" s="192"/>
      <c r="O278" s="192"/>
      <c r="P278" s="192"/>
    </row>
    <row r="279" spans="1:16" x14ac:dyDescent="0.25">
      <c r="A279" s="175">
        <v>1</v>
      </c>
      <c r="B279" s="193" t="s">
        <v>1652</v>
      </c>
      <c r="C279" s="193"/>
      <c r="D279" s="178">
        <v>4114</v>
      </c>
      <c r="E279" s="246">
        <v>16.043600000000001</v>
      </c>
      <c r="F279" s="195">
        <v>129.55309999999997</v>
      </c>
      <c r="G279" s="192">
        <v>397592.69777424098</v>
      </c>
      <c r="H279" s="192">
        <v>66811.727638813754</v>
      </c>
      <c r="I279" s="192">
        <v>81879.444375873703</v>
      </c>
      <c r="J279" s="192">
        <v>1675848.4272989538</v>
      </c>
      <c r="K279" s="192">
        <v>18318.165197868682</v>
      </c>
      <c r="L279" s="192">
        <v>1199010.4165282347</v>
      </c>
      <c r="M279" s="192">
        <v>0</v>
      </c>
      <c r="N279" s="192">
        <v>0</v>
      </c>
      <c r="O279" s="192">
        <v>37667.945723321187</v>
      </c>
      <c r="P279" s="192">
        <v>3477128.824537307</v>
      </c>
    </row>
    <row r="280" spans="1:16" x14ac:dyDescent="0.25">
      <c r="A280" s="175">
        <v>1</v>
      </c>
      <c r="B280" s="193"/>
      <c r="C280" s="193"/>
      <c r="D280" s="178"/>
      <c r="E280" s="246"/>
      <c r="F280" s="230"/>
      <c r="G280" s="192"/>
      <c r="H280" s="192"/>
      <c r="I280" s="192"/>
      <c r="J280" s="192"/>
      <c r="K280" s="192"/>
      <c r="L280" s="192"/>
      <c r="M280" s="192"/>
      <c r="N280" s="192"/>
      <c r="O280" s="192"/>
      <c r="P280" s="192"/>
    </row>
    <row r="281" spans="1:16" x14ac:dyDescent="0.25">
      <c r="A281" s="175">
        <v>1</v>
      </c>
      <c r="B281" s="193" t="s">
        <v>1653</v>
      </c>
      <c r="C281" s="193"/>
      <c r="D281" s="178">
        <v>4114</v>
      </c>
      <c r="E281" s="246">
        <v>2.4922000000000004</v>
      </c>
      <c r="F281" s="195">
        <v>129.55309999999997</v>
      </c>
      <c r="G281" s="192">
        <v>61761.731867720679</v>
      </c>
      <c r="H281" s="192">
        <v>10378.480367339727</v>
      </c>
      <c r="I281" s="192">
        <v>12719.087441319432</v>
      </c>
      <c r="J281" s="192">
        <v>260324.95515435768</v>
      </c>
      <c r="K281" s="192">
        <v>2845.529139727264</v>
      </c>
      <c r="L281" s="192">
        <v>186253.31970827412</v>
      </c>
      <c r="M281" s="192">
        <v>0</v>
      </c>
      <c r="N281" s="192">
        <v>0</v>
      </c>
      <c r="O281" s="192">
        <v>5851.3085798487282</v>
      </c>
      <c r="P281" s="192">
        <v>540134.41225858754</v>
      </c>
    </row>
    <row r="282" spans="1:16" x14ac:dyDescent="0.25">
      <c r="A282" s="175">
        <v>1</v>
      </c>
      <c r="B282" s="193"/>
      <c r="C282" s="193"/>
      <c r="D282" s="178"/>
      <c r="E282" s="246"/>
      <c r="F282" s="230"/>
      <c r="G282" s="192"/>
      <c r="H282" s="192"/>
      <c r="I282" s="192"/>
      <c r="J282" s="192"/>
      <c r="K282" s="192"/>
      <c r="L282" s="192"/>
      <c r="M282" s="192"/>
      <c r="N282" s="192"/>
      <c r="O282" s="192"/>
      <c r="P282" s="192"/>
    </row>
    <row r="283" spans="1:16" x14ac:dyDescent="0.25">
      <c r="A283" s="175">
        <v>1</v>
      </c>
      <c r="B283" s="193" t="s">
        <v>1654</v>
      </c>
      <c r="C283" s="193"/>
      <c r="D283" s="178">
        <v>4118</v>
      </c>
      <c r="E283" s="246">
        <v>7.3176000000000005</v>
      </c>
      <c r="F283" s="195">
        <v>155.75350000000003</v>
      </c>
      <c r="G283" s="192">
        <v>259221.93610416222</v>
      </c>
      <c r="H283" s="192">
        <v>6160.9243452033506</v>
      </c>
      <c r="I283" s="192">
        <v>103.56296253616742</v>
      </c>
      <c r="J283" s="192">
        <v>820473.4090180241</v>
      </c>
      <c r="K283" s="192">
        <v>11238.979634054383</v>
      </c>
      <c r="L283" s="192">
        <v>664352.25995125051</v>
      </c>
      <c r="M283" s="192">
        <v>0</v>
      </c>
      <c r="N283" s="192">
        <v>0</v>
      </c>
      <c r="O283" s="192">
        <v>8650.6154521838234</v>
      </c>
      <c r="P283" s="192">
        <v>1770201.6874674149</v>
      </c>
    </row>
    <row r="284" spans="1:16" x14ac:dyDescent="0.25">
      <c r="A284" s="175">
        <v>1</v>
      </c>
      <c r="B284" s="193"/>
      <c r="C284" s="193"/>
      <c r="D284" s="178"/>
      <c r="E284" s="246"/>
      <c r="F284" s="230"/>
      <c r="G284" s="192"/>
      <c r="H284" s="192"/>
      <c r="I284" s="192"/>
      <c r="J284" s="192"/>
      <c r="K284" s="192"/>
      <c r="L284" s="192"/>
      <c r="M284" s="192"/>
      <c r="N284" s="192"/>
      <c r="O284" s="192"/>
      <c r="P284" s="192"/>
    </row>
    <row r="285" spans="1:16" x14ac:dyDescent="0.25">
      <c r="A285" s="175">
        <v>1</v>
      </c>
      <c r="B285" s="193" t="s">
        <v>1655</v>
      </c>
      <c r="C285" s="193"/>
      <c r="D285" s="178">
        <v>4118</v>
      </c>
      <c r="E285" s="246">
        <v>7.2975000000000003</v>
      </c>
      <c r="F285" s="195">
        <v>155.75350000000003</v>
      </c>
      <c r="G285" s="192">
        <v>258509.90471194428</v>
      </c>
      <c r="H285" s="192">
        <v>6144.0015044716101</v>
      </c>
      <c r="I285" s="192">
        <v>103.27849555970288</v>
      </c>
      <c r="J285" s="192">
        <v>818219.73082828126</v>
      </c>
      <c r="K285" s="192">
        <v>11208.108379729947</v>
      </c>
      <c r="L285" s="192">
        <v>662527.41568195191</v>
      </c>
      <c r="M285" s="192">
        <v>0</v>
      </c>
      <c r="N285" s="192">
        <v>0</v>
      </c>
      <c r="O285" s="192">
        <v>8626.8539223668213</v>
      </c>
      <c r="P285" s="192">
        <v>1765339.2935243056</v>
      </c>
    </row>
    <row r="286" spans="1:16" x14ac:dyDescent="0.25">
      <c r="A286" s="175">
        <v>1</v>
      </c>
      <c r="B286" s="193"/>
      <c r="C286" s="193"/>
      <c r="D286" s="178"/>
      <c r="E286" s="246"/>
      <c r="F286" s="230"/>
      <c r="G286" s="192"/>
      <c r="H286" s="192"/>
      <c r="I286" s="192"/>
      <c r="J286" s="192"/>
      <c r="K286" s="192"/>
      <c r="L286" s="192"/>
      <c r="M286" s="192"/>
      <c r="N286" s="192"/>
      <c r="O286" s="192"/>
      <c r="P286" s="192"/>
    </row>
    <row r="287" spans="1:16" x14ac:dyDescent="0.25">
      <c r="A287" s="175">
        <v>1</v>
      </c>
      <c r="B287" s="193" t="s">
        <v>1656</v>
      </c>
      <c r="C287" s="193"/>
      <c r="D287" s="178">
        <v>4118</v>
      </c>
      <c r="E287" s="246">
        <v>4.0153999999999996</v>
      </c>
      <c r="F287" s="195">
        <v>155.75350000000003</v>
      </c>
      <c r="G287" s="192">
        <v>142243.32598565824</v>
      </c>
      <c r="H287" s="192">
        <v>3380.6952574245015</v>
      </c>
      <c r="I287" s="192">
        <v>56.828293397797985</v>
      </c>
      <c r="J287" s="192">
        <v>450219.87080066872</v>
      </c>
      <c r="K287" s="192">
        <v>6167.1858017084796</v>
      </c>
      <c r="L287" s="192">
        <v>364551.22780805879</v>
      </c>
      <c r="M287" s="192">
        <v>0</v>
      </c>
      <c r="N287" s="192">
        <v>0</v>
      </c>
      <c r="O287" s="192">
        <v>4746.8680013527546</v>
      </c>
      <c r="P287" s="192">
        <v>971366.00194826932</v>
      </c>
    </row>
    <row r="288" spans="1:16" x14ac:dyDescent="0.25">
      <c r="A288" s="175">
        <v>1</v>
      </c>
      <c r="B288" s="193"/>
      <c r="C288" s="193"/>
      <c r="D288" s="178"/>
      <c r="E288" s="246"/>
      <c r="F288" s="230"/>
      <c r="G288" s="192"/>
      <c r="H288" s="192"/>
      <c r="I288" s="192"/>
      <c r="J288" s="192"/>
      <c r="K288" s="192"/>
      <c r="L288" s="192"/>
      <c r="M288" s="192"/>
      <c r="N288" s="192"/>
      <c r="O288" s="192"/>
      <c r="P288" s="192"/>
    </row>
    <row r="289" spans="1:16" x14ac:dyDescent="0.25">
      <c r="A289" s="175">
        <v>1</v>
      </c>
      <c r="B289" s="193" t="s">
        <v>1657</v>
      </c>
      <c r="C289" s="193"/>
      <c r="D289" s="178">
        <v>4115</v>
      </c>
      <c r="E289" s="246">
        <v>9.4371000000000009</v>
      </c>
      <c r="F289" s="195">
        <v>27.066800000000001</v>
      </c>
      <c r="G289" s="192">
        <v>560304.41395340429</v>
      </c>
      <c r="H289" s="192">
        <v>185359.5938268654</v>
      </c>
      <c r="I289" s="192">
        <v>749.15793621706291</v>
      </c>
      <c r="J289" s="192">
        <v>1254873.1434904386</v>
      </c>
      <c r="K289" s="192">
        <v>137583.19597536468</v>
      </c>
      <c r="L289" s="192">
        <v>730875.2093569244</v>
      </c>
      <c r="M289" s="192">
        <v>0</v>
      </c>
      <c r="N289" s="192">
        <v>0</v>
      </c>
      <c r="O289" s="192">
        <v>9559.235462263734</v>
      </c>
      <c r="P289" s="192">
        <v>2879303.9500014782</v>
      </c>
    </row>
    <row r="290" spans="1:16" x14ac:dyDescent="0.25">
      <c r="A290" s="175">
        <v>1</v>
      </c>
      <c r="B290" s="193"/>
      <c r="C290" s="193"/>
      <c r="D290" s="178"/>
      <c r="E290" s="246"/>
      <c r="F290" s="230"/>
      <c r="G290" s="192"/>
      <c r="H290" s="192"/>
      <c r="I290" s="192"/>
      <c r="J290" s="192"/>
      <c r="K290" s="192"/>
      <c r="L290" s="192"/>
      <c r="M290" s="192"/>
      <c r="N290" s="192"/>
      <c r="O290" s="192"/>
      <c r="P290" s="192"/>
    </row>
    <row r="291" spans="1:16" x14ac:dyDescent="0.25">
      <c r="A291" s="175">
        <v>1</v>
      </c>
      <c r="B291" s="193" t="s">
        <v>1658</v>
      </c>
      <c r="C291" s="193"/>
      <c r="D291" s="178">
        <v>4114</v>
      </c>
      <c r="E291" s="246">
        <v>12.178700000000001</v>
      </c>
      <c r="F291" s="195">
        <v>129.55309999999997</v>
      </c>
      <c r="G291" s="192">
        <v>301812.69717414718</v>
      </c>
      <c r="H291" s="192">
        <v>50716.795943231016</v>
      </c>
      <c r="I291" s="192">
        <v>62154.702761253895</v>
      </c>
      <c r="J291" s="192">
        <v>1272136.8795997014</v>
      </c>
      <c r="K291" s="192">
        <v>13905.322901049845</v>
      </c>
      <c r="L291" s="192">
        <v>910169.04932636139</v>
      </c>
      <c r="M291" s="192">
        <v>0</v>
      </c>
      <c r="N291" s="192">
        <v>0</v>
      </c>
      <c r="O291" s="192">
        <v>28593.745205602962</v>
      </c>
      <c r="P291" s="192">
        <v>2639489.1929113478</v>
      </c>
    </row>
    <row r="292" spans="1:16" x14ac:dyDescent="0.25">
      <c r="A292" s="175">
        <v>1</v>
      </c>
      <c r="B292" s="193"/>
      <c r="C292" s="193"/>
      <c r="D292" s="178"/>
      <c r="E292" s="246"/>
      <c r="F292" s="230"/>
      <c r="G292" s="192"/>
      <c r="H292" s="192"/>
      <c r="I292" s="192"/>
      <c r="J292" s="192"/>
      <c r="K292" s="192"/>
      <c r="L292" s="192"/>
      <c r="M292" s="192"/>
      <c r="N292" s="192"/>
      <c r="O292" s="192"/>
      <c r="P292" s="192"/>
    </row>
    <row r="293" spans="1:16" x14ac:dyDescent="0.25">
      <c r="A293" s="175">
        <v>1</v>
      </c>
      <c r="B293" s="193" t="s">
        <v>1659</v>
      </c>
      <c r="C293" s="193"/>
      <c r="D293" s="178">
        <v>4116</v>
      </c>
      <c r="E293" s="246">
        <v>14.2136</v>
      </c>
      <c r="F293" s="195">
        <v>90.452699999999993</v>
      </c>
      <c r="G293" s="192">
        <v>558966.66035111737</v>
      </c>
      <c r="H293" s="192">
        <v>27198.706124218177</v>
      </c>
      <c r="I293" s="192">
        <v>321.09677351313326</v>
      </c>
      <c r="J293" s="192">
        <v>505454.85886426835</v>
      </c>
      <c r="K293" s="192">
        <v>1592524.1258413293</v>
      </c>
      <c r="L293" s="192">
        <v>1065136.3977428204</v>
      </c>
      <c r="M293" s="192">
        <v>0</v>
      </c>
      <c r="N293" s="192">
        <v>0</v>
      </c>
      <c r="O293" s="192">
        <v>2108.2740306743704</v>
      </c>
      <c r="P293" s="192">
        <v>3751710.1197279408</v>
      </c>
    </row>
    <row r="294" spans="1:16" x14ac:dyDescent="0.25">
      <c r="A294" s="175">
        <v>1</v>
      </c>
      <c r="B294" s="193"/>
      <c r="C294" s="193"/>
      <c r="D294" s="178"/>
      <c r="E294" s="246"/>
      <c r="F294" s="230"/>
      <c r="G294" s="192"/>
      <c r="H294" s="192"/>
      <c r="I294" s="192"/>
      <c r="J294" s="192"/>
      <c r="K294" s="192"/>
      <c r="L294" s="192"/>
      <c r="M294" s="192"/>
      <c r="N294" s="192"/>
      <c r="O294" s="192"/>
      <c r="P294" s="192"/>
    </row>
    <row r="295" spans="1:16" x14ac:dyDescent="0.25">
      <c r="A295" s="175">
        <v>1</v>
      </c>
      <c r="B295" s="193" t="s">
        <v>1660</v>
      </c>
      <c r="C295" s="193"/>
      <c r="D295" s="178">
        <v>4117</v>
      </c>
      <c r="E295" s="246">
        <v>65.66</v>
      </c>
      <c r="F295" s="195">
        <v>305.18490000000003</v>
      </c>
      <c r="G295" s="192">
        <v>216333.47663793323</v>
      </c>
      <c r="H295" s="192">
        <v>1524.1016629590781</v>
      </c>
      <c r="I295" s="192">
        <v>2766.2020480043407</v>
      </c>
      <c r="J295" s="192">
        <v>3298866.314924493</v>
      </c>
      <c r="K295" s="192">
        <v>149202.15299446334</v>
      </c>
      <c r="L295" s="192">
        <v>4264056.6044047382</v>
      </c>
      <c r="M295" s="192">
        <v>0</v>
      </c>
      <c r="N295" s="192">
        <v>0</v>
      </c>
      <c r="O295" s="192">
        <v>32522.198142830788</v>
      </c>
      <c r="P295" s="192">
        <v>7965271.0508154221</v>
      </c>
    </row>
    <row r="296" spans="1:16" x14ac:dyDescent="0.25">
      <c r="A296" s="175">
        <v>1</v>
      </c>
      <c r="B296" s="193"/>
      <c r="C296" s="193"/>
      <c r="D296" s="178"/>
      <c r="E296" s="246"/>
      <c r="F296" s="230"/>
      <c r="G296" s="192"/>
      <c r="H296" s="192"/>
      <c r="I296" s="192"/>
      <c r="J296" s="192"/>
      <c r="K296" s="192"/>
      <c r="L296" s="192"/>
      <c r="M296" s="192"/>
      <c r="N296" s="192"/>
      <c r="O296" s="192"/>
      <c r="P296" s="192"/>
    </row>
    <row r="297" spans="1:16" x14ac:dyDescent="0.25">
      <c r="A297" s="175">
        <v>1</v>
      </c>
      <c r="B297" s="193" t="s">
        <v>1661</v>
      </c>
      <c r="C297" s="193"/>
      <c r="D297" s="178">
        <v>4117</v>
      </c>
      <c r="E297" s="246">
        <v>65.129599999999996</v>
      </c>
      <c r="F297" s="195">
        <v>305.18490000000003</v>
      </c>
      <c r="G297" s="192">
        <v>214585.93968988632</v>
      </c>
      <c r="H297" s="192">
        <v>1511.7900040794939</v>
      </c>
      <c r="I297" s="192">
        <v>2743.8567302117499</v>
      </c>
      <c r="J297" s="192">
        <v>3272218.1471901657</v>
      </c>
      <c r="K297" s="192">
        <v>147996.90136564421</v>
      </c>
      <c r="L297" s="192">
        <v>4229611.651267725</v>
      </c>
      <c r="M297" s="192">
        <v>0</v>
      </c>
      <c r="N297" s="192">
        <v>0</v>
      </c>
      <c r="O297" s="192">
        <v>32259.484559295037</v>
      </c>
      <c r="P297" s="192">
        <v>7900927.7708070073</v>
      </c>
    </row>
    <row r="298" spans="1:16" x14ac:dyDescent="0.25">
      <c r="A298" s="175">
        <v>1</v>
      </c>
      <c r="B298" s="193"/>
      <c r="C298" s="193"/>
      <c r="D298" s="178"/>
      <c r="E298" s="243"/>
      <c r="F298" s="230"/>
      <c r="G298" s="192"/>
      <c r="H298" s="192"/>
      <c r="I298" s="192"/>
      <c r="J298" s="192"/>
      <c r="K298" s="192"/>
      <c r="L298" s="192"/>
      <c r="M298" s="192"/>
      <c r="N298" s="192"/>
      <c r="O298" s="192"/>
      <c r="P298" s="192"/>
    </row>
    <row r="299" spans="1:16" x14ac:dyDescent="0.25">
      <c r="A299" s="175">
        <v>1</v>
      </c>
      <c r="B299" s="193" t="s">
        <v>1662</v>
      </c>
      <c r="C299" s="193"/>
      <c r="D299" s="178">
        <v>4135</v>
      </c>
      <c r="E299" s="246">
        <v>10.844099999999999</v>
      </c>
      <c r="F299" s="195">
        <v>206.1454</v>
      </c>
      <c r="G299" s="192">
        <v>93835.506965396446</v>
      </c>
      <c r="H299" s="192">
        <v>0</v>
      </c>
      <c r="I299" s="192">
        <v>0</v>
      </c>
      <c r="J299" s="192">
        <v>483796.59755872755</v>
      </c>
      <c r="K299" s="192">
        <v>126581.11130310006</v>
      </c>
      <c r="L299" s="192">
        <v>351680.81799318286</v>
      </c>
      <c r="M299" s="192">
        <v>0</v>
      </c>
      <c r="N299" s="192">
        <v>0</v>
      </c>
      <c r="O299" s="192">
        <v>5143.6342787217964</v>
      </c>
      <c r="P299" s="192">
        <v>1061037.6680991286</v>
      </c>
    </row>
    <row r="300" spans="1:16" x14ac:dyDescent="0.25">
      <c r="A300" s="175">
        <v>1</v>
      </c>
      <c r="B300" s="193"/>
      <c r="C300" s="193"/>
      <c r="D300" s="178"/>
      <c r="E300" s="246"/>
      <c r="F300" s="230"/>
      <c r="G300" s="192"/>
      <c r="H300" s="192"/>
      <c r="I300" s="192"/>
      <c r="J300" s="192"/>
      <c r="K300" s="192"/>
      <c r="L300" s="192"/>
      <c r="M300" s="192"/>
      <c r="N300" s="192"/>
      <c r="O300" s="192"/>
      <c r="P300" s="192"/>
    </row>
    <row r="301" spans="1:16" x14ac:dyDescent="0.25">
      <c r="A301" s="175">
        <v>1</v>
      </c>
      <c r="B301" s="193" t="s">
        <v>1663</v>
      </c>
      <c r="C301" s="193"/>
      <c r="D301" s="178">
        <v>4135</v>
      </c>
      <c r="E301" s="246">
        <v>10.855</v>
      </c>
      <c r="F301" s="195">
        <v>206.1454</v>
      </c>
      <c r="G301" s="192">
        <v>93929.826182844001</v>
      </c>
      <c r="H301" s="192">
        <v>0</v>
      </c>
      <c r="I301" s="192">
        <v>0</v>
      </c>
      <c r="J301" s="192">
        <v>484282.88806816499</v>
      </c>
      <c r="K301" s="192">
        <v>126708.34492444288</v>
      </c>
      <c r="L301" s="192">
        <v>352034.31168248178</v>
      </c>
      <c r="M301" s="192">
        <v>0</v>
      </c>
      <c r="N301" s="192">
        <v>0</v>
      </c>
      <c r="O301" s="192">
        <v>5148.8044278017633</v>
      </c>
      <c r="P301" s="192">
        <v>1062104.1752857356</v>
      </c>
    </row>
    <row r="302" spans="1:16" x14ac:dyDescent="0.25">
      <c r="A302" s="175">
        <v>1</v>
      </c>
      <c r="B302" s="193"/>
      <c r="C302" s="193"/>
      <c r="D302" s="178"/>
      <c r="E302" s="246"/>
      <c r="F302" s="230"/>
      <c r="G302" s="192"/>
      <c r="H302" s="192"/>
      <c r="I302" s="192"/>
      <c r="J302" s="192"/>
      <c r="K302" s="192"/>
      <c r="L302" s="192"/>
      <c r="M302" s="192"/>
      <c r="N302" s="192"/>
      <c r="O302" s="192"/>
      <c r="P302" s="192"/>
    </row>
    <row r="303" spans="1:16" x14ac:dyDescent="0.25">
      <c r="A303" s="175">
        <v>1</v>
      </c>
      <c r="B303" s="193" t="s">
        <v>1664</v>
      </c>
      <c r="C303" s="193"/>
      <c r="D303" s="178">
        <v>4101</v>
      </c>
      <c r="E303" s="246">
        <v>29.859100000000002</v>
      </c>
      <c r="F303" s="195">
        <v>354.28050000000002</v>
      </c>
      <c r="G303" s="192">
        <v>122944.50975994726</v>
      </c>
      <c r="H303" s="192">
        <v>23445.39072228079</v>
      </c>
      <c r="I303" s="192">
        <v>8299.5496565263966</v>
      </c>
      <c r="J303" s="192">
        <v>1879473.8550667085</v>
      </c>
      <c r="K303" s="192">
        <v>116480.82861651148</v>
      </c>
      <c r="L303" s="192">
        <v>2565786.5494265701</v>
      </c>
      <c r="M303" s="192">
        <v>0</v>
      </c>
      <c r="N303" s="192">
        <v>0</v>
      </c>
      <c r="O303" s="192">
        <v>98380.207565465767</v>
      </c>
      <c r="P303" s="192">
        <v>4814810.8908140101</v>
      </c>
    </row>
    <row r="304" spans="1:16" x14ac:dyDescent="0.25">
      <c r="A304" s="175">
        <v>1</v>
      </c>
      <c r="B304" s="193"/>
      <c r="C304" s="193"/>
      <c r="D304" s="178"/>
      <c r="E304" s="246"/>
      <c r="F304" s="230"/>
      <c r="G304" s="192"/>
      <c r="H304" s="192"/>
      <c r="I304" s="192"/>
      <c r="J304" s="192"/>
      <c r="K304" s="192"/>
      <c r="L304" s="192"/>
      <c r="M304" s="192"/>
      <c r="N304" s="192"/>
      <c r="O304" s="192"/>
      <c r="P304" s="192"/>
    </row>
    <row r="305" spans="1:16" x14ac:dyDescent="0.25">
      <c r="A305" s="175">
        <v>1</v>
      </c>
      <c r="B305" s="193" t="s">
        <v>1665</v>
      </c>
      <c r="C305" s="193"/>
      <c r="D305" s="178">
        <v>4101</v>
      </c>
      <c r="E305" s="246">
        <v>29.859100000000002</v>
      </c>
      <c r="F305" s="195">
        <v>354.28050000000002</v>
      </c>
      <c r="G305" s="192">
        <v>122944.50975994726</v>
      </c>
      <c r="H305" s="192">
        <v>23445.39072228079</v>
      </c>
      <c r="I305" s="192">
        <v>8299.5496565263966</v>
      </c>
      <c r="J305" s="192">
        <v>1879473.8550667085</v>
      </c>
      <c r="K305" s="192">
        <v>116480.82861651148</v>
      </c>
      <c r="L305" s="192">
        <v>2565786.5494265701</v>
      </c>
      <c r="M305" s="192">
        <v>0</v>
      </c>
      <c r="N305" s="192">
        <v>0</v>
      </c>
      <c r="O305" s="192">
        <v>98380.207565465767</v>
      </c>
      <c r="P305" s="192">
        <v>4814810.8908140101</v>
      </c>
    </row>
    <row r="306" spans="1:16" x14ac:dyDescent="0.25">
      <c r="A306" s="175">
        <v>1</v>
      </c>
      <c r="B306" s="193"/>
      <c r="C306" s="193"/>
      <c r="D306" s="178"/>
      <c r="E306" s="243"/>
      <c r="F306" s="230"/>
      <c r="G306" s="192"/>
      <c r="H306" s="192"/>
      <c r="I306" s="192"/>
      <c r="J306" s="192"/>
      <c r="K306" s="192"/>
      <c r="L306" s="192"/>
      <c r="M306" s="192"/>
      <c r="N306" s="192"/>
      <c r="O306" s="192"/>
      <c r="P306" s="192"/>
    </row>
    <row r="307" spans="1:16" x14ac:dyDescent="0.25">
      <c r="A307" s="175">
        <v>1</v>
      </c>
      <c r="B307" s="193" t="s">
        <v>1666</v>
      </c>
      <c r="C307" s="193"/>
      <c r="D307" s="178">
        <v>4101</v>
      </c>
      <c r="E307" s="246">
        <v>29.872699999999998</v>
      </c>
      <c r="F307" s="195">
        <v>354.28050000000002</v>
      </c>
      <c r="G307" s="192">
        <v>123000.50760759621</v>
      </c>
      <c r="H307" s="192">
        <v>23456.069453850829</v>
      </c>
      <c r="I307" s="192">
        <v>8303.3298734562013</v>
      </c>
      <c r="J307" s="192">
        <v>1880329.9037898416</v>
      </c>
      <c r="K307" s="192">
        <v>116533.88243491808</v>
      </c>
      <c r="L307" s="192">
        <v>2566955.1947330995</v>
      </c>
      <c r="M307" s="192">
        <v>0</v>
      </c>
      <c r="N307" s="192">
        <v>0</v>
      </c>
      <c r="O307" s="192">
        <v>98425.017048098875</v>
      </c>
      <c r="P307" s="192">
        <v>4817003.9049408613</v>
      </c>
    </row>
    <row r="308" spans="1:16" x14ac:dyDescent="0.25">
      <c r="A308" s="175">
        <v>1</v>
      </c>
      <c r="B308" s="193"/>
      <c r="C308" s="193"/>
      <c r="D308" s="178"/>
      <c r="E308" s="246"/>
      <c r="F308" s="230"/>
      <c r="G308" s="192"/>
      <c r="H308" s="192"/>
      <c r="I308" s="192"/>
      <c r="J308" s="192"/>
      <c r="K308" s="192"/>
      <c r="L308" s="192"/>
      <c r="M308" s="192"/>
      <c r="N308" s="192"/>
      <c r="O308" s="192"/>
      <c r="P308" s="192"/>
    </row>
    <row r="309" spans="1:16" x14ac:dyDescent="0.25">
      <c r="A309" s="175">
        <v>1</v>
      </c>
      <c r="B309" s="193" t="s">
        <v>1667</v>
      </c>
      <c r="C309" s="193"/>
      <c r="D309" s="178">
        <v>4113</v>
      </c>
      <c r="E309" s="246">
        <v>51.618299999999998</v>
      </c>
      <c r="F309" s="195">
        <v>129.55309999999997</v>
      </c>
      <c r="G309" s="192">
        <v>348578.23076632677</v>
      </c>
      <c r="H309" s="192">
        <v>0</v>
      </c>
      <c r="I309" s="192">
        <v>0</v>
      </c>
      <c r="J309" s="192">
        <v>733614.06259987608</v>
      </c>
      <c r="K309" s="192">
        <v>82148.405321462793</v>
      </c>
      <c r="L309" s="192">
        <v>856811.07919592049</v>
      </c>
      <c r="M309" s="192">
        <v>0</v>
      </c>
      <c r="N309" s="192">
        <v>0</v>
      </c>
      <c r="O309" s="192">
        <v>251418.67455626305</v>
      </c>
      <c r="P309" s="192">
        <v>2272570.4524398493</v>
      </c>
    </row>
    <row r="310" spans="1:16" x14ac:dyDescent="0.25">
      <c r="A310" s="175">
        <v>1</v>
      </c>
      <c r="B310" s="193"/>
      <c r="C310" s="193"/>
      <c r="D310" s="178"/>
      <c r="E310" s="246"/>
      <c r="F310" s="230"/>
      <c r="G310" s="192"/>
      <c r="H310" s="192"/>
      <c r="I310" s="192"/>
      <c r="J310" s="192"/>
      <c r="K310" s="192"/>
      <c r="L310" s="192"/>
      <c r="M310" s="192"/>
      <c r="N310" s="192"/>
      <c r="O310" s="192"/>
      <c r="P310" s="192"/>
    </row>
    <row r="311" spans="1:16" x14ac:dyDescent="0.25">
      <c r="A311" s="175">
        <v>1</v>
      </c>
      <c r="B311" s="193" t="s">
        <v>1668</v>
      </c>
      <c r="C311" s="193"/>
      <c r="D311" s="178">
        <v>4121</v>
      </c>
      <c r="E311" s="246">
        <v>51.893299999999996</v>
      </c>
      <c r="F311" s="195">
        <v>135.41370000000001</v>
      </c>
      <c r="G311" s="192">
        <v>135632.63002377897</v>
      </c>
      <c r="H311" s="192">
        <v>0</v>
      </c>
      <c r="I311" s="192">
        <v>0</v>
      </c>
      <c r="J311" s="192">
        <v>766889.6651838033</v>
      </c>
      <c r="K311" s="192">
        <v>71366.026706042292</v>
      </c>
      <c r="L311" s="192">
        <v>786525.22226203105</v>
      </c>
      <c r="M311" s="192">
        <v>0</v>
      </c>
      <c r="N311" s="192">
        <v>0</v>
      </c>
      <c r="O311" s="192">
        <v>55067.790964178661</v>
      </c>
      <c r="P311" s="192">
        <v>1815481.3351398343</v>
      </c>
    </row>
    <row r="312" spans="1:16" x14ac:dyDescent="0.25">
      <c r="A312" s="175">
        <v>1</v>
      </c>
      <c r="B312" s="193"/>
      <c r="C312" s="193"/>
      <c r="D312" s="178"/>
      <c r="E312" s="246"/>
      <c r="F312" s="230"/>
      <c r="G312" s="192"/>
      <c r="H312" s="192"/>
      <c r="I312" s="192"/>
      <c r="J312" s="192"/>
      <c r="K312" s="192"/>
      <c r="L312" s="192"/>
      <c r="M312" s="192"/>
      <c r="N312" s="192"/>
      <c r="O312" s="192"/>
      <c r="P312" s="192"/>
    </row>
    <row r="313" spans="1:16" x14ac:dyDescent="0.25">
      <c r="A313" s="175">
        <v>1</v>
      </c>
      <c r="B313" s="193" t="s">
        <v>1669</v>
      </c>
      <c r="C313" s="193"/>
      <c r="D313" s="178">
        <v>4169</v>
      </c>
      <c r="E313" s="246">
        <v>35.611499999999999</v>
      </c>
      <c r="F313" s="195">
        <v>297.62279999999993</v>
      </c>
      <c r="G313" s="192">
        <v>426609.14132571506</v>
      </c>
      <c r="H313" s="192">
        <v>0</v>
      </c>
      <c r="I313" s="192">
        <v>323.22618307468389</v>
      </c>
      <c r="J313" s="192">
        <v>1043974.1925809617</v>
      </c>
      <c r="K313" s="192">
        <v>47675.281685828515</v>
      </c>
      <c r="L313" s="192">
        <v>725808.41922554327</v>
      </c>
      <c r="M313" s="192">
        <v>0</v>
      </c>
      <c r="N313" s="192">
        <v>0</v>
      </c>
      <c r="O313" s="192">
        <v>12701.42638497454</v>
      </c>
      <c r="P313" s="192">
        <v>2257091.6873860979</v>
      </c>
    </row>
    <row r="314" spans="1:16" x14ac:dyDescent="0.25">
      <c r="A314" s="175">
        <v>1</v>
      </c>
      <c r="B314" s="193"/>
      <c r="C314" s="193"/>
      <c r="D314" s="178"/>
      <c r="E314" s="246"/>
      <c r="F314" s="230"/>
      <c r="G314" s="192"/>
      <c r="H314" s="192"/>
      <c r="I314" s="192"/>
      <c r="J314" s="192"/>
      <c r="K314" s="192"/>
      <c r="L314" s="192"/>
      <c r="M314" s="192"/>
      <c r="N314" s="192"/>
      <c r="O314" s="192"/>
      <c r="P314" s="192"/>
    </row>
    <row r="315" spans="1:16" x14ac:dyDescent="0.25">
      <c r="A315" s="175">
        <v>1</v>
      </c>
      <c r="B315" s="193" t="s">
        <v>1670</v>
      </c>
      <c r="C315" s="193"/>
      <c r="D315" s="178">
        <v>4169</v>
      </c>
      <c r="E315" s="246">
        <v>35.616399999999999</v>
      </c>
      <c r="F315" s="195">
        <v>297.62279999999993</v>
      </c>
      <c r="G315" s="192">
        <v>426667.84103767597</v>
      </c>
      <c r="H315" s="192">
        <v>0</v>
      </c>
      <c r="I315" s="192">
        <v>323.27065770498774</v>
      </c>
      <c r="J315" s="192">
        <v>1044117.8392553126</v>
      </c>
      <c r="K315" s="192">
        <v>47681.841613948942</v>
      </c>
      <c r="L315" s="192">
        <v>725908.28756173269</v>
      </c>
      <c r="M315" s="192">
        <v>0</v>
      </c>
      <c r="N315" s="192">
        <v>0</v>
      </c>
      <c r="O315" s="192">
        <v>12703.174050455815</v>
      </c>
      <c r="P315" s="192">
        <v>2257402.2541768313</v>
      </c>
    </row>
    <row r="316" spans="1:16" x14ac:dyDescent="0.25">
      <c r="A316" s="175">
        <v>1</v>
      </c>
      <c r="B316" s="193"/>
      <c r="C316" s="193"/>
      <c r="D316" s="178"/>
      <c r="E316" s="246"/>
      <c r="F316" s="230"/>
      <c r="G316" s="192"/>
      <c r="H316" s="192"/>
      <c r="I316" s="192"/>
      <c r="J316" s="192"/>
      <c r="K316" s="192"/>
      <c r="L316" s="192"/>
      <c r="M316" s="192"/>
      <c r="N316" s="192"/>
      <c r="O316" s="192"/>
      <c r="P316" s="192"/>
    </row>
    <row r="317" spans="1:16" x14ac:dyDescent="0.25">
      <c r="A317" s="175">
        <v>1</v>
      </c>
      <c r="B317" s="193" t="s">
        <v>1671</v>
      </c>
      <c r="C317" s="193"/>
      <c r="D317" s="178">
        <v>4114</v>
      </c>
      <c r="E317" s="246">
        <v>12.0899</v>
      </c>
      <c r="F317" s="195">
        <v>129.55309999999997</v>
      </c>
      <c r="G317" s="192">
        <v>299612.0544529155</v>
      </c>
      <c r="H317" s="192">
        <v>50346.998552724719</v>
      </c>
      <c r="I317" s="192">
        <v>61701.506803951444</v>
      </c>
      <c r="J317" s="192">
        <v>1262861.1970631042</v>
      </c>
      <c r="K317" s="192">
        <v>13803.933370671952</v>
      </c>
      <c r="L317" s="192">
        <v>903532.6257688239</v>
      </c>
      <c r="M317" s="192">
        <v>0</v>
      </c>
      <c r="N317" s="192">
        <v>0</v>
      </c>
      <c r="O317" s="192">
        <v>28385.256239271781</v>
      </c>
      <c r="P317" s="192">
        <v>2620243.5722514633</v>
      </c>
    </row>
    <row r="318" spans="1:16" x14ac:dyDescent="0.25">
      <c r="A318" s="175">
        <v>1</v>
      </c>
      <c r="B318" s="193" t="s">
        <v>1671</v>
      </c>
      <c r="C318" s="193"/>
      <c r="D318" s="178">
        <v>4116</v>
      </c>
      <c r="E318" s="618">
        <v>14.2151</v>
      </c>
      <c r="F318" s="196">
        <v>90.452699999999993</v>
      </c>
      <c r="G318" s="197">
        <v>559025.64962832571</v>
      </c>
      <c r="H318" s="197">
        <v>27201.576477906638</v>
      </c>
      <c r="I318" s="197">
        <v>321.13065973198491</v>
      </c>
      <c r="J318" s="197">
        <v>505508.20089502027</v>
      </c>
      <c r="K318" s="197">
        <v>1592692.1892586732</v>
      </c>
      <c r="L318" s="197">
        <v>1065248.8044938627</v>
      </c>
      <c r="M318" s="197">
        <v>0</v>
      </c>
      <c r="N318" s="197">
        <v>0</v>
      </c>
      <c r="O318" s="197">
        <v>2108.496522586765</v>
      </c>
      <c r="P318" s="197">
        <v>3752106.0479361075</v>
      </c>
    </row>
    <row r="319" spans="1:16" x14ac:dyDescent="0.25">
      <c r="A319" s="175">
        <v>1</v>
      </c>
      <c r="B319" s="193"/>
      <c r="C319" s="193" t="s">
        <v>1672</v>
      </c>
      <c r="D319" s="178"/>
      <c r="E319" s="246">
        <v>26.305</v>
      </c>
      <c r="F319" s="253">
        <v>220.00579999999997</v>
      </c>
      <c r="G319" s="192">
        <v>858637.70408124127</v>
      </c>
      <c r="H319" s="192">
        <v>77548.575030631357</v>
      </c>
      <c r="I319" s="192">
        <v>62022.63746368343</v>
      </c>
      <c r="J319" s="192">
        <v>1768369.3979581245</v>
      </c>
      <c r="K319" s="192">
        <v>1606496.1226293452</v>
      </c>
      <c r="L319" s="192">
        <v>1968781.4302626867</v>
      </c>
      <c r="M319" s="192">
        <v>0</v>
      </c>
      <c r="N319" s="192">
        <v>0</v>
      </c>
      <c r="O319" s="192">
        <v>30493.752761858545</v>
      </c>
      <c r="P319" s="192">
        <v>6372349.6201875713</v>
      </c>
    </row>
    <row r="320" spans="1:16" x14ac:dyDescent="0.25">
      <c r="A320" s="175">
        <v>1</v>
      </c>
      <c r="B320" s="193"/>
      <c r="C320" s="193"/>
      <c r="D320" s="178"/>
      <c r="E320" s="246"/>
      <c r="F320" s="230"/>
      <c r="G320" s="192"/>
      <c r="H320" s="192"/>
      <c r="I320" s="192"/>
      <c r="J320" s="192"/>
      <c r="K320" s="192"/>
      <c r="L320" s="192"/>
      <c r="M320" s="192"/>
      <c r="N320" s="192"/>
      <c r="O320" s="192"/>
      <c r="P320" s="192"/>
    </row>
    <row r="321" spans="1:16" x14ac:dyDescent="0.25">
      <c r="A321" s="175">
        <v>1</v>
      </c>
      <c r="B321" s="193" t="s">
        <v>1673</v>
      </c>
      <c r="C321" s="193"/>
      <c r="D321" s="178">
        <v>4107</v>
      </c>
      <c r="E321" s="246">
        <v>10.9291</v>
      </c>
      <c r="F321" s="195">
        <v>270.78870000000006</v>
      </c>
      <c r="G321" s="192">
        <v>106536.7676106462</v>
      </c>
      <c r="H321" s="248">
        <v>13176.732935779815</v>
      </c>
      <c r="I321" s="192">
        <v>0</v>
      </c>
      <c r="J321" s="192">
        <v>358740.83505729784</v>
      </c>
      <c r="K321" s="192">
        <v>0</v>
      </c>
      <c r="L321" s="192">
        <v>275003.36801155971</v>
      </c>
      <c r="M321" s="192">
        <v>0</v>
      </c>
      <c r="N321" s="192">
        <v>0</v>
      </c>
      <c r="O321" s="192">
        <v>33759.184943038585</v>
      </c>
      <c r="P321" s="192">
        <v>787216.88855832221</v>
      </c>
    </row>
    <row r="322" spans="1:16" x14ac:dyDescent="0.25">
      <c r="A322" s="175">
        <v>1</v>
      </c>
      <c r="B322" s="193"/>
      <c r="C322" s="193"/>
      <c r="D322" s="178"/>
      <c r="E322" s="246"/>
      <c r="F322" s="230"/>
      <c r="G322" s="192"/>
      <c r="H322" s="248"/>
      <c r="I322" s="192"/>
      <c r="J322" s="192"/>
      <c r="K322" s="192"/>
      <c r="L322" s="192"/>
      <c r="M322" s="192"/>
      <c r="N322" s="192"/>
      <c r="O322" s="192"/>
      <c r="P322" s="192"/>
    </row>
    <row r="323" spans="1:16" x14ac:dyDescent="0.25">
      <c r="A323" s="175">
        <v>1</v>
      </c>
      <c r="B323" s="193" t="s">
        <v>1674</v>
      </c>
      <c r="C323" s="193"/>
      <c r="D323" s="178">
        <v>4107</v>
      </c>
      <c r="E323" s="246">
        <v>18.813700000000001</v>
      </c>
      <c r="F323" s="195">
        <v>270.78870000000006</v>
      </c>
      <c r="G323" s="192">
        <v>183395.77685229477</v>
      </c>
      <c r="H323" s="248">
        <v>22682.846751688674</v>
      </c>
      <c r="I323" s="192">
        <v>0</v>
      </c>
      <c r="J323" s="192">
        <v>617547.87205876829</v>
      </c>
      <c r="K323" s="192">
        <v>0</v>
      </c>
      <c r="L323" s="192">
        <v>473399.53562133032</v>
      </c>
      <c r="M323" s="192">
        <v>0</v>
      </c>
      <c r="N323" s="192">
        <v>0</v>
      </c>
      <c r="O323" s="192">
        <v>58114.133621510009</v>
      </c>
      <c r="P323" s="192">
        <v>1355140.1649055921</v>
      </c>
    </row>
    <row r="324" spans="1:16" x14ac:dyDescent="0.25">
      <c r="A324" s="175">
        <v>1</v>
      </c>
      <c r="B324" s="193" t="s">
        <v>1674</v>
      </c>
      <c r="C324" s="193"/>
      <c r="D324" s="178">
        <v>4114</v>
      </c>
      <c r="E324" s="618">
        <v>17.479199999999999</v>
      </c>
      <c r="F324" s="196">
        <v>129.55309999999997</v>
      </c>
      <c r="G324" s="197">
        <v>433169.75510081975</v>
      </c>
      <c r="H324" s="197">
        <v>72790.118785332044</v>
      </c>
      <c r="I324" s="197">
        <v>89206.112352263284</v>
      </c>
      <c r="J324" s="197">
        <v>1825805.2949739376</v>
      </c>
      <c r="K324" s="197">
        <v>19957.295938977921</v>
      </c>
      <c r="L324" s="197">
        <v>1306299.264041756</v>
      </c>
      <c r="M324" s="197">
        <v>0</v>
      </c>
      <c r="N324" s="197">
        <v>0</v>
      </c>
      <c r="O324" s="197">
        <v>41038.51734567526</v>
      </c>
      <c r="P324" s="197">
        <v>3788266.3585387617</v>
      </c>
    </row>
    <row r="325" spans="1:16" x14ac:dyDescent="0.25">
      <c r="A325" s="175">
        <v>1</v>
      </c>
      <c r="B325" s="193"/>
      <c r="C325" s="193" t="s">
        <v>1675</v>
      </c>
      <c r="D325" s="178"/>
      <c r="E325" s="246">
        <v>36.292900000000003</v>
      </c>
      <c r="F325" s="253">
        <v>400.34180000000003</v>
      </c>
      <c r="G325" s="192">
        <v>616565.53195311455</v>
      </c>
      <c r="H325" s="192">
        <v>95472.965537020718</v>
      </c>
      <c r="I325" s="192">
        <v>89206.112352263284</v>
      </c>
      <c r="J325" s="192">
        <v>2443353.1670327056</v>
      </c>
      <c r="K325" s="192">
        <v>19957.295938977921</v>
      </c>
      <c r="L325" s="192">
        <v>1779698.7996630864</v>
      </c>
      <c r="M325" s="192">
        <v>0</v>
      </c>
      <c r="N325" s="192">
        <v>0</v>
      </c>
      <c r="O325" s="192">
        <v>99152.650967185269</v>
      </c>
      <c r="P325" s="192">
        <v>5143406.5234443536</v>
      </c>
    </row>
    <row r="326" spans="1:16" x14ac:dyDescent="0.25">
      <c r="A326" s="175">
        <v>1</v>
      </c>
      <c r="B326" s="193"/>
      <c r="C326" s="193"/>
      <c r="D326" s="178"/>
      <c r="E326" s="246"/>
      <c r="F326" s="230"/>
      <c r="G326" s="192"/>
      <c r="H326" s="192"/>
      <c r="I326" s="192"/>
      <c r="J326" s="192"/>
      <c r="K326" s="192"/>
      <c r="L326" s="192"/>
      <c r="M326" s="192"/>
      <c r="N326" s="192"/>
      <c r="O326" s="192"/>
      <c r="P326" s="192"/>
    </row>
    <row r="327" spans="1:16" x14ac:dyDescent="0.25">
      <c r="A327" s="175">
        <v>1</v>
      </c>
      <c r="B327" s="193" t="s">
        <v>1676</v>
      </c>
      <c r="C327" s="193"/>
      <c r="D327" s="178">
        <v>4119</v>
      </c>
      <c r="E327" s="246">
        <v>13.733700000000001</v>
      </c>
      <c r="F327" s="195">
        <v>137.6463</v>
      </c>
      <c r="G327" s="192">
        <v>209506.11717486774</v>
      </c>
      <c r="H327" s="192">
        <v>7169.8176791166925</v>
      </c>
      <c r="I327" s="192">
        <v>10.066329374636297</v>
      </c>
      <c r="J327" s="192">
        <v>791063.99652171554</v>
      </c>
      <c r="K327" s="192">
        <v>8498.4863520632225</v>
      </c>
      <c r="L327" s="192">
        <v>1481328.3154504481</v>
      </c>
      <c r="M327" s="192">
        <v>0</v>
      </c>
      <c r="N327" s="192">
        <v>0</v>
      </c>
      <c r="O327" s="192">
        <v>5231.2805058617641</v>
      </c>
      <c r="P327" s="192">
        <v>2502808.0800134474</v>
      </c>
    </row>
    <row r="328" spans="1:16" x14ac:dyDescent="0.25">
      <c r="A328" s="175">
        <v>1</v>
      </c>
      <c r="B328" s="193"/>
      <c r="C328" s="193"/>
      <c r="D328" s="178"/>
      <c r="E328" s="246"/>
      <c r="F328" s="230"/>
      <c r="G328" s="192"/>
      <c r="H328" s="192"/>
      <c r="I328" s="192"/>
      <c r="J328" s="192"/>
      <c r="K328" s="192"/>
      <c r="L328" s="192"/>
      <c r="M328" s="192"/>
      <c r="N328" s="192"/>
      <c r="O328" s="192"/>
      <c r="P328" s="192"/>
    </row>
    <row r="329" spans="1:16" x14ac:dyDescent="0.25">
      <c r="A329" s="175">
        <v>1</v>
      </c>
      <c r="B329" s="193" t="s">
        <v>1677</v>
      </c>
      <c r="C329" s="193"/>
      <c r="D329" s="178">
        <v>4119</v>
      </c>
      <c r="E329" s="246">
        <v>24.971599999999999</v>
      </c>
      <c r="F329" s="195">
        <v>137.6463</v>
      </c>
      <c r="G329" s="192">
        <v>380939.07363958197</v>
      </c>
      <c r="H329" s="192">
        <v>13036.677600051726</v>
      </c>
      <c r="I329" s="192">
        <v>18.303323256782058</v>
      </c>
      <c r="J329" s="192">
        <v>1438369.3902984387</v>
      </c>
      <c r="K329" s="192">
        <v>15452.558435758896</v>
      </c>
      <c r="L329" s="192">
        <v>2693457.565121009</v>
      </c>
      <c r="M329" s="192">
        <v>0</v>
      </c>
      <c r="N329" s="192">
        <v>0</v>
      </c>
      <c r="O329" s="192">
        <v>9511.8900427545086</v>
      </c>
      <c r="P329" s="192">
        <v>4550785.4584608516</v>
      </c>
    </row>
    <row r="330" spans="1:16" x14ac:dyDescent="0.25">
      <c r="A330" s="175">
        <v>1</v>
      </c>
      <c r="B330" s="193"/>
      <c r="C330" s="193"/>
      <c r="D330" s="178"/>
      <c r="E330" s="246"/>
      <c r="F330" s="230"/>
      <c r="G330" s="192"/>
      <c r="H330" s="192"/>
      <c r="I330" s="192"/>
      <c r="J330" s="192"/>
      <c r="K330" s="192"/>
      <c r="L330" s="192"/>
      <c r="M330" s="192"/>
      <c r="N330" s="192"/>
      <c r="O330" s="192"/>
      <c r="P330" s="192"/>
    </row>
    <row r="331" spans="1:16" x14ac:dyDescent="0.25">
      <c r="A331" s="175">
        <v>1</v>
      </c>
      <c r="B331" s="193" t="s">
        <v>1678</v>
      </c>
      <c r="C331" s="193"/>
      <c r="D331" s="178">
        <v>4118</v>
      </c>
      <c r="E331" s="246">
        <v>14.7781</v>
      </c>
      <c r="F331" s="195">
        <v>155.75350000000003</v>
      </c>
      <c r="G331" s="192">
        <v>523506.02573807247</v>
      </c>
      <c r="H331" s="192">
        <v>12442.160826753257</v>
      </c>
      <c r="I331" s="192">
        <v>209.14832959655294</v>
      </c>
      <c r="J331" s="192">
        <v>1656969.2366088964</v>
      </c>
      <c r="K331" s="192">
        <v>22697.43699163921</v>
      </c>
      <c r="L331" s="192">
        <v>1341678.1639862217</v>
      </c>
      <c r="M331" s="192">
        <v>0</v>
      </c>
      <c r="N331" s="192">
        <v>0</v>
      </c>
      <c r="O331" s="192">
        <v>17470.162377544242</v>
      </c>
      <c r="P331" s="192">
        <v>3574972.3348587244</v>
      </c>
    </row>
    <row r="332" spans="1:16" x14ac:dyDescent="0.25">
      <c r="A332" s="175">
        <v>1</v>
      </c>
      <c r="B332" s="193" t="s">
        <v>1678</v>
      </c>
      <c r="C332" s="193"/>
      <c r="D332" s="178">
        <v>4119</v>
      </c>
      <c r="E332" s="618">
        <v>6.7678000000000003</v>
      </c>
      <c r="F332" s="196">
        <v>137.6463</v>
      </c>
      <c r="G332" s="197">
        <v>103242.06148496545</v>
      </c>
      <c r="H332" s="197">
        <v>3533.1987802796007</v>
      </c>
      <c r="I332" s="197">
        <v>4.9605644467014374</v>
      </c>
      <c r="J332" s="197">
        <v>389826.69751484791</v>
      </c>
      <c r="K332" s="197">
        <v>4187.9505110417058</v>
      </c>
      <c r="L332" s="197">
        <v>729980.54226505186</v>
      </c>
      <c r="M332" s="197">
        <v>0</v>
      </c>
      <c r="N332" s="197">
        <v>0</v>
      </c>
      <c r="O332" s="197">
        <v>2577.9112844733208</v>
      </c>
      <c r="P332" s="197">
        <v>1233353.3224051064</v>
      </c>
    </row>
    <row r="333" spans="1:16" x14ac:dyDescent="0.25">
      <c r="A333" s="175">
        <v>1</v>
      </c>
      <c r="B333" s="193"/>
      <c r="C333" s="193" t="s">
        <v>1679</v>
      </c>
      <c r="D333" s="178"/>
      <c r="E333" s="246">
        <v>21.5459</v>
      </c>
      <c r="F333" s="253">
        <v>293.39980000000003</v>
      </c>
      <c r="G333" s="192">
        <v>626748.08722303796</v>
      </c>
      <c r="H333" s="192">
        <v>15975.359607032859</v>
      </c>
      <c r="I333" s="192">
        <v>214.10889404325437</v>
      </c>
      <c r="J333" s="192">
        <v>2046795.9341237443</v>
      </c>
      <c r="K333" s="192">
        <v>26885.387502680915</v>
      </c>
      <c r="L333" s="192">
        <v>2071658.7062512734</v>
      </c>
      <c r="M333" s="192">
        <v>0</v>
      </c>
      <c r="N333" s="192">
        <v>0</v>
      </c>
      <c r="O333" s="192">
        <v>20048.073662017563</v>
      </c>
      <c r="P333" s="192">
        <v>4808325.6572638303</v>
      </c>
    </row>
    <row r="334" spans="1:16" x14ac:dyDescent="0.25">
      <c r="A334" s="175">
        <v>1</v>
      </c>
      <c r="B334" s="193"/>
      <c r="C334" s="193"/>
      <c r="D334" s="178"/>
      <c r="E334" s="246"/>
      <c r="F334" s="230"/>
      <c r="G334" s="192"/>
      <c r="H334" s="192"/>
      <c r="I334" s="192"/>
      <c r="J334" s="192"/>
      <c r="K334" s="192"/>
      <c r="L334" s="192"/>
      <c r="M334" s="192"/>
      <c r="N334" s="192"/>
      <c r="O334" s="192"/>
      <c r="P334" s="192"/>
    </row>
    <row r="335" spans="1:16" x14ac:dyDescent="0.25">
      <c r="A335" s="175">
        <v>1</v>
      </c>
      <c r="B335" s="193" t="s">
        <v>1680</v>
      </c>
      <c r="C335" s="193"/>
      <c r="D335" s="178">
        <v>4118</v>
      </c>
      <c r="E335" s="246">
        <v>15.6296</v>
      </c>
      <c r="F335" s="195">
        <v>155.75350000000003</v>
      </c>
      <c r="G335" s="192">
        <v>553669.94267705444</v>
      </c>
      <c r="H335" s="192">
        <v>13159.066243821784</v>
      </c>
      <c r="I335" s="192">
        <v>221.19925648508831</v>
      </c>
      <c r="J335" s="192">
        <v>1752442.2206171569</v>
      </c>
      <c r="K335" s="192">
        <v>24005.2416213535</v>
      </c>
      <c r="L335" s="192">
        <v>1418984.3776831292</v>
      </c>
      <c r="M335" s="192">
        <v>0</v>
      </c>
      <c r="N335" s="192">
        <v>0</v>
      </c>
      <c r="O335" s="192">
        <v>18476.776439194855</v>
      </c>
      <c r="P335" s="192">
        <v>3780958.824538196</v>
      </c>
    </row>
    <row r="336" spans="1:16" x14ac:dyDescent="0.25">
      <c r="A336" s="175">
        <v>1</v>
      </c>
      <c r="B336" s="193"/>
      <c r="C336" s="193"/>
      <c r="D336" s="178"/>
      <c r="E336" s="246"/>
      <c r="F336" s="230"/>
      <c r="G336" s="192"/>
      <c r="H336" s="192"/>
      <c r="I336" s="192"/>
      <c r="J336" s="192"/>
      <c r="K336" s="192"/>
      <c r="L336" s="192"/>
      <c r="M336" s="192"/>
      <c r="N336" s="192"/>
      <c r="O336" s="192"/>
      <c r="P336" s="192"/>
    </row>
    <row r="337" spans="1:16" x14ac:dyDescent="0.25">
      <c r="A337" s="175">
        <v>1</v>
      </c>
      <c r="B337" s="193" t="s">
        <v>1681</v>
      </c>
      <c r="C337" s="193"/>
      <c r="D337" s="178">
        <v>4118</v>
      </c>
      <c r="E337" s="246">
        <v>15.4693</v>
      </c>
      <c r="F337" s="195">
        <v>155.75350000000003</v>
      </c>
      <c r="G337" s="192">
        <v>547991.40376299829</v>
      </c>
      <c r="H337" s="192">
        <v>13024.104484155214</v>
      </c>
      <c r="I337" s="192">
        <v>218.9305969663188</v>
      </c>
      <c r="J337" s="192">
        <v>1734468.8567457253</v>
      </c>
      <c r="K337" s="192">
        <v>23759.039528407877</v>
      </c>
      <c r="L337" s="192">
        <v>1404431.0176647918</v>
      </c>
      <c r="M337" s="192">
        <v>0</v>
      </c>
      <c r="N337" s="192">
        <v>0</v>
      </c>
      <c r="O337" s="192">
        <v>18287.275283490108</v>
      </c>
      <c r="P337" s="192">
        <v>3742180.6280665351</v>
      </c>
    </row>
    <row r="338" spans="1:16" x14ac:dyDescent="0.25">
      <c r="A338" s="175">
        <v>1</v>
      </c>
      <c r="B338" s="193"/>
      <c r="C338" s="193"/>
      <c r="D338" s="178"/>
      <c r="E338" s="246"/>
      <c r="F338" s="230"/>
      <c r="G338" s="192"/>
      <c r="H338" s="192"/>
      <c r="I338" s="192"/>
      <c r="J338" s="192"/>
      <c r="K338" s="192"/>
      <c r="L338" s="192"/>
      <c r="M338" s="192"/>
      <c r="N338" s="192"/>
      <c r="O338" s="192"/>
      <c r="P338" s="192"/>
    </row>
    <row r="339" spans="1:16" x14ac:dyDescent="0.25">
      <c r="A339" s="175">
        <v>1</v>
      </c>
      <c r="B339" s="193" t="s">
        <v>1682</v>
      </c>
      <c r="C339" s="193"/>
      <c r="D339" s="178">
        <v>4119</v>
      </c>
      <c r="E339" s="246">
        <v>27.652399999999997</v>
      </c>
      <c r="F339" s="195">
        <v>137.6463</v>
      </c>
      <c r="G339" s="192">
        <v>421834.38946287689</v>
      </c>
      <c r="H339" s="192">
        <v>14436.216488637905</v>
      </c>
      <c r="I339" s="192">
        <v>20.268257381418895</v>
      </c>
      <c r="J339" s="192">
        <v>1592784.0317916572</v>
      </c>
      <c r="K339" s="192">
        <v>17111.451684672957</v>
      </c>
      <c r="L339" s="192">
        <v>2982610.8849153514</v>
      </c>
      <c r="M339" s="192">
        <v>0</v>
      </c>
      <c r="N339" s="192">
        <v>0</v>
      </c>
      <c r="O339" s="192">
        <v>10533.029049731085</v>
      </c>
      <c r="P339" s="192">
        <v>5039330.2716503087</v>
      </c>
    </row>
    <row r="340" spans="1:16" x14ac:dyDescent="0.25">
      <c r="A340" s="175">
        <v>1</v>
      </c>
      <c r="B340" s="193"/>
      <c r="C340" s="193"/>
      <c r="D340" s="178"/>
      <c r="E340" s="246"/>
      <c r="F340" s="230"/>
      <c r="G340" s="192"/>
      <c r="H340" s="192"/>
      <c r="I340" s="192"/>
      <c r="J340" s="192"/>
      <c r="K340" s="192"/>
      <c r="L340" s="192"/>
      <c r="M340" s="192"/>
      <c r="N340" s="192"/>
      <c r="O340" s="192"/>
      <c r="P340" s="192"/>
    </row>
    <row r="341" spans="1:16" x14ac:dyDescent="0.25">
      <c r="A341" s="175">
        <v>1</v>
      </c>
      <c r="B341" s="193" t="s">
        <v>1683</v>
      </c>
      <c r="C341" s="193"/>
      <c r="D341" s="178" t="s">
        <v>1541</v>
      </c>
      <c r="E341" s="617" t="s">
        <v>1541</v>
      </c>
      <c r="F341" s="230"/>
      <c r="G341" s="192"/>
      <c r="H341" s="192"/>
      <c r="I341" s="192"/>
      <c r="J341" s="192"/>
      <c r="K341" s="192"/>
      <c r="L341" s="192"/>
      <c r="M341" s="192"/>
      <c r="N341" s="192"/>
      <c r="O341" s="192"/>
      <c r="P341" s="211" t="s">
        <v>1541</v>
      </c>
    </row>
    <row r="342" spans="1:16" x14ac:dyDescent="0.25">
      <c r="A342" s="175">
        <v>1</v>
      </c>
      <c r="B342" s="193"/>
      <c r="C342" s="193"/>
      <c r="D342" s="178"/>
      <c r="E342" s="246"/>
      <c r="F342" s="230"/>
      <c r="G342" s="192"/>
      <c r="H342" s="192"/>
      <c r="I342" s="192"/>
      <c r="J342" s="192"/>
      <c r="K342" s="192"/>
      <c r="L342" s="192"/>
      <c r="M342" s="192"/>
      <c r="N342" s="192"/>
      <c r="O342" s="192"/>
      <c r="P342" s="192"/>
    </row>
    <row r="343" spans="1:16" x14ac:dyDescent="0.25">
      <c r="A343" s="175">
        <v>1</v>
      </c>
      <c r="B343" s="193" t="s">
        <v>1684</v>
      </c>
      <c r="C343" s="193"/>
      <c r="D343" s="178">
        <v>4125</v>
      </c>
      <c r="E343" s="246">
        <v>25.9572</v>
      </c>
      <c r="F343" s="195">
        <v>414.74720000000002</v>
      </c>
      <c r="G343" s="192">
        <v>714390.27269753709</v>
      </c>
      <c r="H343" s="192">
        <v>110762.18797568254</v>
      </c>
      <c r="I343" s="192">
        <v>120.04605430006521</v>
      </c>
      <c r="J343" s="192">
        <v>1959052.6827608433</v>
      </c>
      <c r="K343" s="192">
        <v>30799.808550567672</v>
      </c>
      <c r="L343" s="192">
        <v>864062.57930045086</v>
      </c>
      <c r="M343" s="192">
        <v>0</v>
      </c>
      <c r="N343" s="192">
        <v>0</v>
      </c>
      <c r="O343" s="192">
        <v>111475.15993677112</v>
      </c>
      <c r="P343" s="192">
        <v>3790662.7372761532</v>
      </c>
    </row>
    <row r="344" spans="1:16" x14ac:dyDescent="0.25">
      <c r="A344" s="175">
        <v>1</v>
      </c>
      <c r="B344" s="193"/>
      <c r="C344" s="193"/>
      <c r="D344" s="178"/>
      <c r="E344" s="246"/>
      <c r="F344" s="230"/>
      <c r="G344" s="192"/>
      <c r="H344" s="192"/>
      <c r="I344" s="192"/>
      <c r="J344" s="192"/>
      <c r="K344" s="192"/>
      <c r="L344" s="192"/>
      <c r="M344" s="192"/>
      <c r="N344" s="192"/>
      <c r="O344" s="192"/>
      <c r="P344" s="192"/>
    </row>
    <row r="345" spans="1:16" x14ac:dyDescent="0.25">
      <c r="A345" s="175">
        <v>1</v>
      </c>
      <c r="B345" s="193" t="s">
        <v>1685</v>
      </c>
      <c r="C345" s="193"/>
      <c r="D345" s="178">
        <v>4125</v>
      </c>
      <c r="E345" s="246">
        <v>25.9909</v>
      </c>
      <c r="F345" s="195">
        <v>414.74720000000002</v>
      </c>
      <c r="G345" s="192">
        <v>715317.75918259355</v>
      </c>
      <c r="H345" s="192">
        <v>110905.98953111921</v>
      </c>
      <c r="I345" s="192">
        <v>120.20190901590173</v>
      </c>
      <c r="J345" s="192">
        <v>1961596.1032919111</v>
      </c>
      <c r="K345" s="192">
        <v>30839.79566582487</v>
      </c>
      <c r="L345" s="192">
        <v>865184.38399904792</v>
      </c>
      <c r="M345" s="192">
        <v>0</v>
      </c>
      <c r="N345" s="192">
        <v>0</v>
      </c>
      <c r="O345" s="192">
        <v>111619.88713731158</v>
      </c>
      <c r="P345" s="192">
        <v>3795584.1207168237</v>
      </c>
    </row>
    <row r="346" spans="1:16" x14ac:dyDescent="0.25">
      <c r="A346" s="175">
        <v>1</v>
      </c>
      <c r="B346" s="193"/>
      <c r="C346" s="193"/>
      <c r="D346" s="178"/>
      <c r="E346" s="243"/>
      <c r="F346" s="230"/>
      <c r="G346" s="192"/>
      <c r="H346" s="192"/>
      <c r="I346" s="192"/>
      <c r="J346" s="192"/>
      <c r="K346" s="192"/>
      <c r="L346" s="192"/>
      <c r="M346" s="192"/>
      <c r="N346" s="192"/>
      <c r="O346" s="192"/>
      <c r="P346" s="192"/>
    </row>
    <row r="347" spans="1:16" x14ac:dyDescent="0.25">
      <c r="A347" s="175">
        <v>1</v>
      </c>
      <c r="B347" s="193" t="s">
        <v>1686</v>
      </c>
      <c r="C347" s="193"/>
      <c r="D347" s="178">
        <v>4125</v>
      </c>
      <c r="E347" s="246">
        <v>25.995799999999999</v>
      </c>
      <c r="F347" s="195">
        <v>414.74720000000002</v>
      </c>
      <c r="G347" s="192">
        <v>715452.61626795784</v>
      </c>
      <c r="H347" s="192">
        <v>110926.89836262185</v>
      </c>
      <c r="I347" s="192">
        <v>120.22457038407975</v>
      </c>
      <c r="J347" s="192">
        <v>1961965.9181465767</v>
      </c>
      <c r="K347" s="192">
        <v>30845.609816114491</v>
      </c>
      <c r="L347" s="192">
        <v>865347.49506798352</v>
      </c>
      <c r="M347" s="192">
        <v>0</v>
      </c>
      <c r="N347" s="192">
        <v>0</v>
      </c>
      <c r="O347" s="192">
        <v>111640.93055816169</v>
      </c>
      <c r="P347" s="192">
        <v>3796299.6927898</v>
      </c>
    </row>
    <row r="348" spans="1:16" x14ac:dyDescent="0.25">
      <c r="A348" s="175">
        <v>1</v>
      </c>
      <c r="B348" s="193"/>
      <c r="C348" s="193"/>
      <c r="D348" s="178"/>
      <c r="E348" s="246"/>
      <c r="F348" s="230"/>
      <c r="G348" s="192"/>
      <c r="H348" s="192"/>
      <c r="I348" s="192"/>
      <c r="J348" s="192"/>
      <c r="K348" s="192"/>
      <c r="L348" s="192"/>
      <c r="M348" s="192"/>
      <c r="N348" s="192"/>
      <c r="O348" s="192"/>
      <c r="P348" s="192"/>
    </row>
    <row r="349" spans="1:16" x14ac:dyDescent="0.25">
      <c r="A349" s="175">
        <v>1</v>
      </c>
      <c r="B349" s="193" t="s">
        <v>1687</v>
      </c>
      <c r="C349" s="193"/>
      <c r="D349" s="178">
        <v>4125</v>
      </c>
      <c r="E349" s="246">
        <v>25.569199999999999</v>
      </c>
      <c r="F349" s="195">
        <v>414.74720000000002</v>
      </c>
      <c r="G349" s="192">
        <v>703711.79328501783</v>
      </c>
      <c r="H349" s="192">
        <v>109106.54988934947</v>
      </c>
      <c r="I349" s="192">
        <v>118.25164392188783</v>
      </c>
      <c r="J349" s="192">
        <v>1929769.3840648665</v>
      </c>
      <c r="K349" s="192">
        <v>30339.422772532278</v>
      </c>
      <c r="L349" s="192">
        <v>851146.84567862051</v>
      </c>
      <c r="M349" s="192">
        <v>0</v>
      </c>
      <c r="N349" s="192">
        <v>0</v>
      </c>
      <c r="O349" s="192">
        <v>109808.86457149799</v>
      </c>
      <c r="P349" s="192">
        <v>3734001.1119058062</v>
      </c>
    </row>
    <row r="350" spans="1:16" x14ac:dyDescent="0.25">
      <c r="A350" s="175">
        <v>1</v>
      </c>
      <c r="B350" s="193"/>
      <c r="C350" s="193"/>
      <c r="D350" s="178"/>
      <c r="E350" s="246"/>
      <c r="F350" s="230"/>
      <c r="G350" s="192"/>
      <c r="H350" s="192"/>
      <c r="I350" s="192"/>
      <c r="J350" s="192"/>
      <c r="K350" s="192"/>
      <c r="L350" s="192"/>
      <c r="M350" s="192"/>
      <c r="N350" s="192"/>
      <c r="O350" s="192"/>
      <c r="P350" s="192"/>
    </row>
    <row r="351" spans="1:16" x14ac:dyDescent="0.25">
      <c r="A351" s="175">
        <v>1</v>
      </c>
      <c r="B351" s="193" t="s">
        <v>1688</v>
      </c>
      <c r="C351" s="193"/>
      <c r="D351" s="178">
        <v>4125</v>
      </c>
      <c r="E351" s="246">
        <v>25.688199999999998</v>
      </c>
      <c r="F351" s="195">
        <v>414.74720000000002</v>
      </c>
      <c r="G351" s="192">
        <v>706986.89392957906</v>
      </c>
      <c r="H351" s="192">
        <v>109614.3357972712</v>
      </c>
      <c r="I351" s="192">
        <v>118.80199143478244</v>
      </c>
      <c r="J351" s="192">
        <v>1938750.6019638903</v>
      </c>
      <c r="K351" s="192">
        <v>30480.623565280242</v>
      </c>
      <c r="L351" s="192">
        <v>855108.11449562514</v>
      </c>
      <c r="M351" s="192">
        <v>0</v>
      </c>
      <c r="N351" s="192">
        <v>0</v>
      </c>
      <c r="O351" s="192">
        <v>110319.91907785754</v>
      </c>
      <c r="P351" s="192">
        <v>3751379.2908209385</v>
      </c>
    </row>
    <row r="352" spans="1:16" x14ac:dyDescent="0.25">
      <c r="A352" s="175">
        <v>1</v>
      </c>
      <c r="B352" s="193"/>
      <c r="C352" s="193"/>
      <c r="D352" s="178"/>
      <c r="E352" s="246"/>
      <c r="F352" s="230"/>
      <c r="G352" s="192"/>
      <c r="H352" s="192"/>
      <c r="I352" s="192"/>
      <c r="J352" s="192"/>
      <c r="K352" s="192"/>
      <c r="L352" s="192"/>
      <c r="M352" s="192"/>
      <c r="N352" s="192"/>
      <c r="O352" s="192"/>
      <c r="P352" s="192"/>
    </row>
    <row r="353" spans="1:16" x14ac:dyDescent="0.25">
      <c r="A353" s="175">
        <v>1</v>
      </c>
      <c r="B353" s="193" t="s">
        <v>1689</v>
      </c>
      <c r="C353" s="193"/>
      <c r="D353" s="178">
        <v>4119</v>
      </c>
      <c r="E353" s="246">
        <v>6.4142999999999999</v>
      </c>
      <c r="F353" s="195">
        <v>137.6463</v>
      </c>
      <c r="G353" s="192">
        <v>97849.456984989767</v>
      </c>
      <c r="H353" s="192">
        <v>3348.6505121823106</v>
      </c>
      <c r="I353" s="192">
        <v>4.7014611144651184</v>
      </c>
      <c r="J353" s="192">
        <v>369465.02347431786</v>
      </c>
      <c r="K353" s="192">
        <v>3969.2028374028209</v>
      </c>
      <c r="L353" s="192">
        <v>691851.73797256453</v>
      </c>
      <c r="M353" s="192">
        <v>0</v>
      </c>
      <c r="N353" s="192">
        <v>0</v>
      </c>
      <c r="O353" s="192">
        <v>2443.2601956318476</v>
      </c>
      <c r="P353" s="192">
        <v>1168932.0334382036</v>
      </c>
    </row>
    <row r="354" spans="1:16" x14ac:dyDescent="0.25">
      <c r="A354" s="175">
        <v>1</v>
      </c>
      <c r="B354" s="193"/>
      <c r="C354" s="193"/>
      <c r="D354" s="178"/>
      <c r="E354" s="246"/>
      <c r="F354" s="230"/>
      <c r="G354" s="192"/>
      <c r="H354" s="192"/>
      <c r="I354" s="192"/>
      <c r="J354" s="192"/>
      <c r="K354" s="192"/>
      <c r="L354" s="192"/>
      <c r="M354" s="192"/>
      <c r="N354" s="192"/>
      <c r="O354" s="192"/>
      <c r="P354" s="192"/>
    </row>
    <row r="355" spans="1:16" x14ac:dyDescent="0.25">
      <c r="A355" s="175">
        <v>1</v>
      </c>
      <c r="B355" s="193" t="s">
        <v>1690</v>
      </c>
      <c r="C355" s="193"/>
      <c r="D355" s="178">
        <v>4101</v>
      </c>
      <c r="E355" s="246">
        <v>38.767699999999998</v>
      </c>
      <c r="F355" s="195">
        <v>354.28050000000002</v>
      </c>
      <c r="G355" s="192">
        <v>159625.57046329955</v>
      </c>
      <c r="H355" s="192">
        <v>30440.431021168246</v>
      </c>
      <c r="I355" s="192">
        <v>10775.758519825393</v>
      </c>
      <c r="J355" s="192">
        <v>2440223.5355744017</v>
      </c>
      <c r="K355" s="192">
        <v>151233.42028247108</v>
      </c>
      <c r="L355" s="192">
        <v>3331300.7830847027</v>
      </c>
      <c r="M355" s="192">
        <v>0</v>
      </c>
      <c r="N355" s="192">
        <v>0</v>
      </c>
      <c r="O355" s="192">
        <v>127732.39557909338</v>
      </c>
      <c r="P355" s="192">
        <v>6251331.8945249617</v>
      </c>
    </row>
    <row r="356" spans="1:16" x14ac:dyDescent="0.25">
      <c r="A356" s="175">
        <v>1</v>
      </c>
      <c r="B356" s="193"/>
      <c r="C356" s="193"/>
      <c r="D356" s="178"/>
      <c r="E356" s="246"/>
      <c r="F356" s="230"/>
      <c r="G356" s="192"/>
      <c r="H356" s="192"/>
      <c r="I356" s="192"/>
      <c r="J356" s="192"/>
      <c r="K356" s="192"/>
      <c r="L356" s="192"/>
      <c r="M356" s="192"/>
      <c r="N356" s="192"/>
      <c r="O356" s="192"/>
      <c r="P356" s="192"/>
    </row>
    <row r="357" spans="1:16" x14ac:dyDescent="0.25">
      <c r="A357" s="175">
        <v>1</v>
      </c>
      <c r="B357" s="193" t="s">
        <v>1691</v>
      </c>
      <c r="C357" s="193"/>
      <c r="D357" s="178">
        <v>4101</v>
      </c>
      <c r="E357" s="243">
        <v>38.4602</v>
      </c>
      <c r="F357" s="195">
        <v>354.28050000000002</v>
      </c>
      <c r="G357" s="192">
        <v>158359.44265800121</v>
      </c>
      <c r="H357" s="192">
        <v>30198.981759566213</v>
      </c>
      <c r="I357" s="192">
        <v>10690.286703213978</v>
      </c>
      <c r="J357" s="192">
        <v>2420868.0221653236</v>
      </c>
      <c r="K357" s="192">
        <v>150033.85784423357</v>
      </c>
      <c r="L357" s="192">
        <v>3304877.368984858</v>
      </c>
      <c r="M357" s="192">
        <v>0</v>
      </c>
      <c r="N357" s="192">
        <v>0</v>
      </c>
      <c r="O357" s="192">
        <v>126719.23999749914</v>
      </c>
      <c r="P357" s="192">
        <v>6201747.2001126949</v>
      </c>
    </row>
    <row r="358" spans="1:16" x14ac:dyDescent="0.25">
      <c r="A358" s="175">
        <v>1</v>
      </c>
      <c r="B358" s="193"/>
      <c r="C358" s="193"/>
      <c r="D358" s="178"/>
      <c r="E358" s="246"/>
      <c r="F358" s="230"/>
      <c r="G358" s="192"/>
      <c r="H358" s="192"/>
      <c r="I358" s="192"/>
      <c r="J358" s="192"/>
      <c r="K358" s="192"/>
      <c r="L358" s="192"/>
      <c r="M358" s="192"/>
      <c r="N358" s="192"/>
      <c r="O358" s="192"/>
      <c r="P358" s="192"/>
    </row>
    <row r="359" spans="1:16" x14ac:dyDescent="0.25">
      <c r="A359" s="175">
        <v>1</v>
      </c>
      <c r="B359" s="193" t="s">
        <v>1693</v>
      </c>
      <c r="C359" s="193"/>
      <c r="D359" s="178">
        <v>4125</v>
      </c>
      <c r="E359" s="246">
        <v>40.310299999999998</v>
      </c>
      <c r="F359" s="195">
        <v>414.74720000000002</v>
      </c>
      <c r="G359" s="192">
        <v>1109414.1975836966</v>
      </c>
      <c r="H359" s="192">
        <v>172008.42255544342</v>
      </c>
      <c r="I359" s="192">
        <v>186.42582646248124</v>
      </c>
      <c r="J359" s="192">
        <v>3042315.8644959549</v>
      </c>
      <c r="K359" s="192">
        <v>47830.641310154708</v>
      </c>
      <c r="L359" s="192">
        <v>1341848.1881857428</v>
      </c>
      <c r="M359" s="192">
        <v>0</v>
      </c>
      <c r="N359" s="192">
        <v>0</v>
      </c>
      <c r="O359" s="192">
        <v>173115.63418239349</v>
      </c>
      <c r="P359" s="192">
        <v>5886719.3741398482</v>
      </c>
    </row>
    <row r="360" spans="1:16" x14ac:dyDescent="0.25">
      <c r="A360" s="175">
        <v>1</v>
      </c>
      <c r="B360" s="193"/>
      <c r="C360" s="193"/>
      <c r="D360" s="178"/>
      <c r="E360" s="246"/>
      <c r="F360" s="230"/>
      <c r="G360" s="192"/>
      <c r="H360" s="192"/>
      <c r="I360" s="192"/>
      <c r="J360" s="192"/>
      <c r="K360" s="192"/>
      <c r="L360" s="192"/>
      <c r="M360" s="192"/>
      <c r="N360" s="192"/>
      <c r="O360" s="192"/>
      <c r="P360" s="192"/>
    </row>
    <row r="361" spans="1:16" x14ac:dyDescent="0.25">
      <c r="A361" s="175">
        <v>1</v>
      </c>
      <c r="B361" s="193" t="s">
        <v>1694</v>
      </c>
      <c r="C361" s="193"/>
      <c r="D361" s="178">
        <v>4045</v>
      </c>
      <c r="E361" s="246">
        <v>6.4972000000000003</v>
      </c>
      <c r="F361" s="195">
        <v>12.996300000000002</v>
      </c>
      <c r="G361" s="192">
        <v>89552.500917030222</v>
      </c>
      <c r="H361" s="192">
        <v>0</v>
      </c>
      <c r="I361" s="192">
        <v>0</v>
      </c>
      <c r="J361" s="192">
        <v>350752.34410347563</v>
      </c>
      <c r="K361" s="192">
        <v>0</v>
      </c>
      <c r="L361" s="192">
        <v>226562.83769965297</v>
      </c>
      <c r="M361" s="192">
        <v>0</v>
      </c>
      <c r="N361" s="192">
        <v>0</v>
      </c>
      <c r="O361" s="192">
        <v>19000.026876264783</v>
      </c>
      <c r="P361" s="192">
        <v>685867.70959642367</v>
      </c>
    </row>
    <row r="362" spans="1:16" x14ac:dyDescent="0.25">
      <c r="A362" s="175">
        <v>1</v>
      </c>
      <c r="B362" s="193" t="s">
        <v>1694</v>
      </c>
      <c r="C362" s="193"/>
      <c r="D362" s="178">
        <v>4101</v>
      </c>
      <c r="E362" s="618">
        <v>4.9855999999999998</v>
      </c>
      <c r="F362" s="196">
        <v>354.28050000000002</v>
      </c>
      <c r="G362" s="197">
        <v>20528.152149903817</v>
      </c>
      <c r="H362" s="197">
        <v>3914.6973614410049</v>
      </c>
      <c r="I362" s="197">
        <v>1385.7830533263896</v>
      </c>
      <c r="J362" s="197">
        <v>313817.39073919109</v>
      </c>
      <c r="K362" s="197">
        <v>19448.905665290637</v>
      </c>
      <c r="L362" s="197">
        <v>428411.62060548062</v>
      </c>
      <c r="M362" s="197">
        <v>0</v>
      </c>
      <c r="N362" s="197">
        <v>0</v>
      </c>
      <c r="O362" s="197">
        <v>16426.629162914694</v>
      </c>
      <c r="P362" s="197">
        <v>803933.1787375483</v>
      </c>
    </row>
    <row r="363" spans="1:16" x14ac:dyDescent="0.25">
      <c r="A363" s="175">
        <v>1</v>
      </c>
      <c r="B363" s="193"/>
      <c r="C363" s="193" t="s">
        <v>1695</v>
      </c>
      <c r="D363" s="178"/>
      <c r="E363" s="246">
        <v>11.482800000000001</v>
      </c>
      <c r="F363" s="253">
        <v>367.27680000000004</v>
      </c>
      <c r="G363" s="192">
        <v>110080.65306693404</v>
      </c>
      <c r="H363" s="192">
        <v>3914.6973614410049</v>
      </c>
      <c r="I363" s="192">
        <v>1385.7830533263896</v>
      </c>
      <c r="J363" s="192">
        <v>664569.73484266666</v>
      </c>
      <c r="K363" s="192">
        <v>19448.905665290637</v>
      </c>
      <c r="L363" s="192">
        <v>654974.45830513362</v>
      </c>
      <c r="M363" s="192">
        <v>0</v>
      </c>
      <c r="N363" s="192">
        <v>0</v>
      </c>
      <c r="O363" s="192">
        <v>35426.656039179477</v>
      </c>
      <c r="P363" s="192">
        <v>1489800.8883339721</v>
      </c>
    </row>
    <row r="364" spans="1:16" x14ac:dyDescent="0.25">
      <c r="A364" s="175">
        <v>1</v>
      </c>
      <c r="B364" s="193"/>
      <c r="C364" s="193"/>
      <c r="D364" s="178"/>
      <c r="E364" s="246"/>
      <c r="F364" s="230"/>
      <c r="G364" s="192"/>
      <c r="H364" s="192"/>
      <c r="I364" s="192"/>
      <c r="J364" s="192"/>
      <c r="K364" s="192"/>
      <c r="L364" s="192"/>
      <c r="M364" s="192"/>
      <c r="N364" s="192"/>
      <c r="O364" s="192"/>
      <c r="P364" s="192"/>
    </row>
    <row r="365" spans="1:16" x14ac:dyDescent="0.25">
      <c r="A365" s="175">
        <v>1</v>
      </c>
      <c r="B365" s="193" t="s">
        <v>1696</v>
      </c>
      <c r="C365" s="193"/>
      <c r="D365" s="178">
        <v>4045</v>
      </c>
      <c r="E365" s="246">
        <v>6.4990999999999994</v>
      </c>
      <c r="F365" s="195">
        <v>12.996300000000002</v>
      </c>
      <c r="G365" s="192">
        <v>89578.689082969751</v>
      </c>
      <c r="H365" s="192">
        <v>0</v>
      </c>
      <c r="I365" s="192">
        <v>0</v>
      </c>
      <c r="J365" s="192">
        <v>350854.91589652438</v>
      </c>
      <c r="K365" s="192">
        <v>0</v>
      </c>
      <c r="L365" s="192">
        <v>226629.09230034697</v>
      </c>
      <c r="M365" s="192">
        <v>0</v>
      </c>
      <c r="N365" s="192">
        <v>0</v>
      </c>
      <c r="O365" s="192">
        <v>19005.583123735214</v>
      </c>
      <c r="P365" s="192">
        <v>686068.28040357633</v>
      </c>
    </row>
    <row r="366" spans="1:16" x14ac:dyDescent="0.25">
      <c r="A366" s="175">
        <v>1</v>
      </c>
      <c r="B366" s="193" t="s">
        <v>1696</v>
      </c>
      <c r="C366" s="193"/>
      <c r="D366" s="178">
        <v>4101</v>
      </c>
      <c r="E366" s="618">
        <v>4.9901999999999997</v>
      </c>
      <c r="F366" s="196">
        <v>354.28050000000002</v>
      </c>
      <c r="G366" s="197">
        <v>20547.092598373321</v>
      </c>
      <c r="H366" s="197">
        <v>3918.3092853544003</v>
      </c>
      <c r="I366" s="197">
        <v>1387.0616561114709</v>
      </c>
      <c r="J366" s="197">
        <v>314106.93663083913</v>
      </c>
      <c r="K366" s="197">
        <v>19466.850339163459</v>
      </c>
      <c r="L366" s="197">
        <v>428806.89769445389</v>
      </c>
      <c r="M366" s="197">
        <v>0</v>
      </c>
      <c r="N366" s="197">
        <v>0</v>
      </c>
      <c r="O366" s="197">
        <v>16441.785311452364</v>
      </c>
      <c r="P366" s="197">
        <v>804674.93351574801</v>
      </c>
    </row>
    <row r="367" spans="1:16" x14ac:dyDescent="0.25">
      <c r="A367" s="175">
        <v>1</v>
      </c>
      <c r="B367" s="193"/>
      <c r="C367" s="193" t="s">
        <v>1697</v>
      </c>
      <c r="D367" s="178"/>
      <c r="E367" s="246">
        <v>11.4893</v>
      </c>
      <c r="F367" s="253">
        <v>367.27680000000004</v>
      </c>
      <c r="G367" s="192">
        <v>110125.78168134307</v>
      </c>
      <c r="H367" s="192">
        <v>3918.3092853544003</v>
      </c>
      <c r="I367" s="192">
        <v>1387.0616561114709</v>
      </c>
      <c r="J367" s="192">
        <v>664961.85252736346</v>
      </c>
      <c r="K367" s="192">
        <v>19466.850339163459</v>
      </c>
      <c r="L367" s="192">
        <v>655435.98999480088</v>
      </c>
      <c r="M367" s="192">
        <v>0</v>
      </c>
      <c r="N367" s="192">
        <v>0</v>
      </c>
      <c r="O367" s="192">
        <v>35447.368435187578</v>
      </c>
      <c r="P367" s="192">
        <v>1490743.2139193243</v>
      </c>
    </row>
    <row r="368" spans="1:16" x14ac:dyDescent="0.25">
      <c r="A368" s="175">
        <v>1</v>
      </c>
      <c r="B368" s="193"/>
      <c r="C368" s="193"/>
      <c r="D368" s="178"/>
      <c r="E368" s="246"/>
      <c r="F368" s="230"/>
      <c r="G368" s="192"/>
      <c r="H368" s="192"/>
      <c r="I368" s="192"/>
      <c r="J368" s="192"/>
      <c r="K368" s="192"/>
      <c r="L368" s="192"/>
      <c r="M368" s="192"/>
      <c r="N368" s="192"/>
      <c r="O368" s="192"/>
      <c r="P368" s="192"/>
    </row>
    <row r="369" spans="1:16" x14ac:dyDescent="0.25">
      <c r="A369" s="175">
        <v>1</v>
      </c>
      <c r="B369" s="193" t="s">
        <v>1698</v>
      </c>
      <c r="C369" s="193"/>
      <c r="D369" s="178">
        <v>4051</v>
      </c>
      <c r="E369" s="246">
        <v>3.9227999999999996</v>
      </c>
      <c r="F369" s="195">
        <v>7.3538999999999994</v>
      </c>
      <c r="G369" s="192">
        <v>0</v>
      </c>
      <c r="H369" s="192">
        <v>0</v>
      </c>
      <c r="I369" s="192">
        <v>0</v>
      </c>
      <c r="J369" s="192">
        <v>168754.25888956882</v>
      </c>
      <c r="K369" s="192">
        <v>0</v>
      </c>
      <c r="L369" s="192">
        <v>109288.09632929465</v>
      </c>
      <c r="M369" s="192">
        <v>0</v>
      </c>
      <c r="N369" s="192">
        <v>0</v>
      </c>
      <c r="O369" s="192">
        <v>77516.851626483913</v>
      </c>
      <c r="P369" s="192">
        <v>355559.20684534736</v>
      </c>
    </row>
    <row r="370" spans="1:16" x14ac:dyDescent="0.25">
      <c r="A370" s="175">
        <v>1</v>
      </c>
      <c r="B370" s="193" t="s">
        <v>1740</v>
      </c>
      <c r="C370" s="193"/>
      <c r="D370" s="178">
        <v>4051</v>
      </c>
      <c r="E370" s="246">
        <v>3.4311000000000003</v>
      </c>
      <c r="F370" s="195">
        <v>7.3538999999999994</v>
      </c>
      <c r="G370" s="192">
        <v>0</v>
      </c>
      <c r="H370" s="192">
        <v>0</v>
      </c>
      <c r="I370" s="192">
        <v>0</v>
      </c>
      <c r="J370" s="192">
        <v>147601.90111043127</v>
      </c>
      <c r="K370" s="192">
        <v>0</v>
      </c>
      <c r="L370" s="192">
        <v>95589.473670705353</v>
      </c>
      <c r="M370" s="192">
        <v>0</v>
      </c>
      <c r="N370" s="192">
        <v>0</v>
      </c>
      <c r="O370" s="192">
        <v>67800.568373516115</v>
      </c>
      <c r="P370" s="192">
        <v>310991.94315465272</v>
      </c>
    </row>
    <row r="371" spans="1:16" x14ac:dyDescent="0.25">
      <c r="A371" s="175">
        <v>1</v>
      </c>
      <c r="B371" s="193" t="s">
        <v>1698</v>
      </c>
      <c r="C371" s="193"/>
      <c r="D371" s="178">
        <v>4101</v>
      </c>
      <c r="E371" s="269">
        <v>27.997499999999999</v>
      </c>
      <c r="F371" s="195">
        <v>354.28050000000002</v>
      </c>
      <c r="G371" s="214">
        <v>115279.39261411509</v>
      </c>
      <c r="H371" s="214">
        <v>21983.660818546319</v>
      </c>
      <c r="I371" s="214">
        <v>7782.1046685465335</v>
      </c>
      <c r="J371" s="214">
        <v>1762295.8916119428</v>
      </c>
      <c r="K371" s="214">
        <v>109218.69712050197</v>
      </c>
      <c r="L371" s="214">
        <v>2405819.6301151202</v>
      </c>
      <c r="M371" s="214">
        <v>0</v>
      </c>
      <c r="N371" s="214">
        <v>0</v>
      </c>
      <c r="O371" s="214">
        <v>92246.580148568712</v>
      </c>
      <c r="P371" s="214">
        <v>4514625.9570973413</v>
      </c>
    </row>
    <row r="372" spans="1:16" x14ac:dyDescent="0.25">
      <c r="A372" s="175">
        <v>1</v>
      </c>
      <c r="B372" s="193" t="s">
        <v>1740</v>
      </c>
      <c r="C372" s="193"/>
      <c r="D372" s="178">
        <v>4101</v>
      </c>
      <c r="E372" s="618">
        <v>0.13639999999999999</v>
      </c>
      <c r="F372" s="195">
        <v>354.28050000000002</v>
      </c>
      <c r="G372" s="214">
        <v>561.62547200876134</v>
      </c>
      <c r="H372" s="214">
        <v>107.10139604070784</v>
      </c>
      <c r="I372" s="214">
        <v>37.913352148932837</v>
      </c>
      <c r="J372" s="214">
        <v>8585.6651349538006</v>
      </c>
      <c r="K372" s="214">
        <v>532.09859048973897</v>
      </c>
      <c r="L372" s="214">
        <v>11720.824986077414</v>
      </c>
      <c r="M372" s="214">
        <v>0</v>
      </c>
      <c r="N372" s="214">
        <v>0</v>
      </c>
      <c r="O372" s="214">
        <v>449.4127522909107</v>
      </c>
      <c r="P372" s="214">
        <v>21994.641684010268</v>
      </c>
    </row>
    <row r="373" spans="1:16" x14ac:dyDescent="0.25">
      <c r="A373" s="175">
        <v>1</v>
      </c>
      <c r="B373" s="193"/>
      <c r="C373" s="193" t="s">
        <v>1699</v>
      </c>
      <c r="D373" s="178"/>
      <c r="E373" s="246">
        <v>35.4878</v>
      </c>
      <c r="F373" s="263">
        <v>361.63440000000003</v>
      </c>
      <c r="G373" s="264">
        <v>115841.01808612385</v>
      </c>
      <c r="H373" s="264">
        <v>22090.762214587026</v>
      </c>
      <c r="I373" s="264">
        <v>7820.0180206954665</v>
      </c>
      <c r="J373" s="264">
        <v>2087237.7167468967</v>
      </c>
      <c r="K373" s="264">
        <v>109750.7957109917</v>
      </c>
      <c r="L373" s="264">
        <v>2622418.0251011974</v>
      </c>
      <c r="M373" s="264">
        <v>0</v>
      </c>
      <c r="N373" s="264">
        <v>0</v>
      </c>
      <c r="O373" s="264">
        <v>238013.41290085966</v>
      </c>
      <c r="P373" s="264">
        <v>5203171.7487813523</v>
      </c>
    </row>
    <row r="374" spans="1:16" x14ac:dyDescent="0.25">
      <c r="A374" s="175">
        <v>1</v>
      </c>
      <c r="B374" s="193"/>
      <c r="C374" s="193"/>
      <c r="D374" s="178"/>
      <c r="E374" s="246"/>
      <c r="F374" s="230"/>
      <c r="G374" s="192"/>
      <c r="H374" s="192"/>
      <c r="I374" s="192"/>
      <c r="J374" s="192"/>
      <c r="K374" s="192"/>
      <c r="L374" s="192"/>
      <c r="M374" s="192"/>
      <c r="N374" s="192"/>
      <c r="O374" s="192"/>
      <c r="P374" s="192"/>
    </row>
    <row r="375" spans="1:16" x14ac:dyDescent="0.25">
      <c r="A375" s="175">
        <v>1</v>
      </c>
      <c r="B375" s="193" t="s">
        <v>1700</v>
      </c>
      <c r="C375" s="193"/>
      <c r="D375" s="178">
        <v>4169</v>
      </c>
      <c r="E375" s="246">
        <v>33.2042</v>
      </c>
      <c r="F375" s="195">
        <v>297.62279999999993</v>
      </c>
      <c r="G375" s="192">
        <v>397770.81140663294</v>
      </c>
      <c r="H375" s="192">
        <v>0</v>
      </c>
      <c r="I375" s="192">
        <v>301.37643255825844</v>
      </c>
      <c r="J375" s="192">
        <v>973402.63356771739</v>
      </c>
      <c r="K375" s="192">
        <v>44452.48271352196</v>
      </c>
      <c r="L375" s="192">
        <v>676744.53234625852</v>
      </c>
      <c r="M375" s="192">
        <v>0</v>
      </c>
      <c r="N375" s="192">
        <v>0</v>
      </c>
      <c r="O375" s="192">
        <v>11842.823300674547</v>
      </c>
      <c r="P375" s="192">
        <v>2104514.6597673637</v>
      </c>
    </row>
    <row r="376" spans="1:16" x14ac:dyDescent="0.25">
      <c r="A376" s="175">
        <v>1</v>
      </c>
      <c r="B376" s="193"/>
      <c r="C376" s="193"/>
      <c r="D376" s="178"/>
      <c r="E376" s="246"/>
      <c r="F376" s="230"/>
      <c r="G376" s="192"/>
      <c r="H376" s="192"/>
      <c r="I376" s="192"/>
      <c r="J376" s="192"/>
      <c r="K376" s="192"/>
      <c r="L376" s="192"/>
      <c r="M376" s="192"/>
      <c r="N376" s="192"/>
      <c r="O376" s="192"/>
      <c r="P376" s="192"/>
    </row>
    <row r="377" spans="1:16" x14ac:dyDescent="0.25">
      <c r="A377" s="175">
        <v>1</v>
      </c>
      <c r="B377" s="193" t="s">
        <v>1701</v>
      </c>
      <c r="C377" s="193"/>
      <c r="D377" s="178">
        <v>4169</v>
      </c>
      <c r="E377" s="246">
        <v>33.203099999999999</v>
      </c>
      <c r="F377" s="195">
        <v>297.62279999999993</v>
      </c>
      <c r="G377" s="192">
        <v>397757.63392027433</v>
      </c>
      <c r="H377" s="192">
        <v>0</v>
      </c>
      <c r="I377" s="192">
        <v>301.36644845757792</v>
      </c>
      <c r="J377" s="192">
        <v>973370.38635510812</v>
      </c>
      <c r="K377" s="192">
        <v>44451.010076596962</v>
      </c>
      <c r="L377" s="192">
        <v>676722.11292384868</v>
      </c>
      <c r="M377" s="192">
        <v>0</v>
      </c>
      <c r="N377" s="192">
        <v>0</v>
      </c>
      <c r="O377" s="192">
        <v>11842.430967607323</v>
      </c>
      <c r="P377" s="192">
        <v>2104444.940691893</v>
      </c>
    </row>
    <row r="378" spans="1:16" x14ac:dyDescent="0.25">
      <c r="A378" s="175">
        <v>1</v>
      </c>
      <c r="B378" s="193"/>
      <c r="C378" s="193"/>
      <c r="D378" s="178"/>
      <c r="E378" s="246"/>
      <c r="F378" s="230"/>
      <c r="G378" s="192"/>
      <c r="H378" s="192"/>
      <c r="I378" s="192"/>
      <c r="J378" s="192"/>
      <c r="K378" s="192"/>
      <c r="L378" s="192"/>
      <c r="M378" s="192"/>
      <c r="N378" s="192"/>
      <c r="O378" s="192"/>
      <c r="P378" s="192"/>
    </row>
    <row r="379" spans="1:16" x14ac:dyDescent="0.25">
      <c r="A379" s="175">
        <v>1</v>
      </c>
      <c r="B379" s="193" t="s">
        <v>1702</v>
      </c>
      <c r="C379" s="193"/>
      <c r="D379" s="178">
        <v>4107</v>
      </c>
      <c r="E379" s="246">
        <v>32.3628</v>
      </c>
      <c r="F379" s="195">
        <v>270.78870000000006</v>
      </c>
      <c r="G379" s="192">
        <v>315472.280684578</v>
      </c>
      <c r="H379" s="248">
        <v>39018.3979151124</v>
      </c>
      <c r="I379" s="192">
        <v>0</v>
      </c>
      <c r="J379" s="192">
        <v>1062288.559606218</v>
      </c>
      <c r="K379" s="192">
        <v>0</v>
      </c>
      <c r="L379" s="192">
        <v>814328.62708589947</v>
      </c>
      <c r="M379" s="192">
        <v>0</v>
      </c>
      <c r="N379" s="192">
        <v>0</v>
      </c>
      <c r="O379" s="192">
        <v>99966.3055946573</v>
      </c>
      <c r="P379" s="192">
        <v>2331074.1708864649</v>
      </c>
    </row>
    <row r="380" spans="1:16" x14ac:dyDescent="0.25">
      <c r="A380" s="175">
        <v>1</v>
      </c>
      <c r="B380" s="193"/>
      <c r="C380" s="193"/>
      <c r="D380" s="178"/>
      <c r="E380" s="246"/>
      <c r="F380" s="230"/>
      <c r="G380" s="192"/>
      <c r="H380" s="248"/>
      <c r="I380" s="192"/>
      <c r="J380" s="192"/>
      <c r="K380" s="192"/>
      <c r="L380" s="192"/>
      <c r="M380" s="192"/>
      <c r="N380" s="192"/>
      <c r="O380" s="192"/>
      <c r="P380" s="192"/>
    </row>
    <row r="381" spans="1:16" x14ac:dyDescent="0.25">
      <c r="A381" s="175">
        <v>1</v>
      </c>
      <c r="B381" s="193" t="s">
        <v>1703</v>
      </c>
      <c r="C381" s="193"/>
      <c r="D381" s="178">
        <v>4070</v>
      </c>
      <c r="E381" s="246">
        <v>4.4239999999999995</v>
      </c>
      <c r="F381" s="195">
        <v>4.4239999999999995</v>
      </c>
      <c r="G381" s="192">
        <v>61040.14</v>
      </c>
      <c r="H381" s="248">
        <v>0</v>
      </c>
      <c r="I381" s="192">
        <v>0</v>
      </c>
      <c r="J381" s="192">
        <v>344763.94</v>
      </c>
      <c r="K381" s="192">
        <v>0</v>
      </c>
      <c r="L381" s="192">
        <v>232145.83000000002</v>
      </c>
      <c r="M381" s="192">
        <v>0</v>
      </c>
      <c r="N381" s="192">
        <v>0</v>
      </c>
      <c r="O381" s="192">
        <v>11892.08</v>
      </c>
      <c r="P381" s="192">
        <v>649841.99</v>
      </c>
    </row>
    <row r="382" spans="1:16" x14ac:dyDescent="0.25">
      <c r="A382" s="175">
        <v>1</v>
      </c>
      <c r="B382" s="193" t="s">
        <v>1703</v>
      </c>
      <c r="C382" s="193"/>
      <c r="D382" s="178">
        <v>4107</v>
      </c>
      <c r="E382" s="246">
        <v>5.0347999999999997</v>
      </c>
      <c r="F382" s="195">
        <v>270.78870000000006</v>
      </c>
      <c r="G382" s="192">
        <v>49079.184705609929</v>
      </c>
      <c r="H382" s="248">
        <v>6070.2358826494592</v>
      </c>
      <c r="I382" s="192">
        <v>0</v>
      </c>
      <c r="J382" s="192">
        <v>165264.14401428142</v>
      </c>
      <c r="K382" s="192">
        <v>0</v>
      </c>
      <c r="L382" s="192">
        <v>126688.10398519557</v>
      </c>
      <c r="M382" s="192">
        <v>0</v>
      </c>
      <c r="N382" s="192">
        <v>0</v>
      </c>
      <c r="O382" s="192">
        <v>15552.126373737148</v>
      </c>
      <c r="P382" s="192">
        <v>362653.79496147356</v>
      </c>
    </row>
    <row r="383" spans="1:16" x14ac:dyDescent="0.25">
      <c r="A383" s="175">
        <v>1</v>
      </c>
      <c r="B383" s="193" t="s">
        <v>1703</v>
      </c>
      <c r="C383" s="193"/>
      <c r="D383" s="178">
        <v>4157</v>
      </c>
      <c r="E383" s="618">
        <v>20.572199999999999</v>
      </c>
      <c r="F383" s="196">
        <v>20.572199999999999</v>
      </c>
      <c r="G383" s="197">
        <v>105605.40000000001</v>
      </c>
      <c r="H383" s="197">
        <v>18610.490000000002</v>
      </c>
      <c r="I383" s="197">
        <v>0</v>
      </c>
      <c r="J383" s="197">
        <v>1994780.5100000002</v>
      </c>
      <c r="K383" s="197">
        <v>0</v>
      </c>
      <c r="L383" s="197">
        <v>3584786.21</v>
      </c>
      <c r="M383" s="197">
        <v>0</v>
      </c>
      <c r="N383" s="197">
        <v>0</v>
      </c>
      <c r="O383" s="197">
        <v>537026.46</v>
      </c>
      <c r="P383" s="197">
        <v>6240809.0700000003</v>
      </c>
    </row>
    <row r="384" spans="1:16" x14ac:dyDescent="0.25">
      <c r="A384" s="175">
        <v>1</v>
      </c>
      <c r="B384" s="193"/>
      <c r="C384" s="193" t="s">
        <v>1704</v>
      </c>
      <c r="D384" s="198"/>
      <c r="E384" s="246">
        <v>30.030999999999999</v>
      </c>
      <c r="F384" s="253">
        <v>295.78490000000005</v>
      </c>
      <c r="G384" s="192">
        <v>215724.72470560996</v>
      </c>
      <c r="H384" s="192">
        <v>24680.725882649462</v>
      </c>
      <c r="I384" s="192">
        <v>0</v>
      </c>
      <c r="J384" s="192">
        <v>2504808.5940142814</v>
      </c>
      <c r="K384" s="192">
        <v>0</v>
      </c>
      <c r="L384" s="192">
        <v>3943620.1439851956</v>
      </c>
      <c r="M384" s="192">
        <v>0</v>
      </c>
      <c r="N384" s="192">
        <v>0</v>
      </c>
      <c r="O384" s="192">
        <v>564470.66637373716</v>
      </c>
      <c r="P384" s="192">
        <v>7253304.8549614735</v>
      </c>
    </row>
    <row r="385" spans="1:16" x14ac:dyDescent="0.25">
      <c r="A385" s="175">
        <v>1</v>
      </c>
      <c r="B385" s="193"/>
      <c r="C385" s="193"/>
      <c r="D385" s="198"/>
      <c r="E385" s="246"/>
      <c r="F385" s="230"/>
      <c r="G385" s="192"/>
      <c r="H385" s="192"/>
      <c r="I385" s="192"/>
      <c r="J385" s="192"/>
      <c r="K385" s="192"/>
      <c r="L385" s="192"/>
      <c r="M385" s="192"/>
      <c r="N385" s="192"/>
      <c r="O385" s="192"/>
      <c r="P385" s="192"/>
    </row>
    <row r="386" spans="1:16" x14ac:dyDescent="0.25">
      <c r="A386" s="175">
        <v>1</v>
      </c>
      <c r="B386" s="193" t="s">
        <v>1705</v>
      </c>
      <c r="C386" s="193"/>
      <c r="D386" s="198">
        <v>4104</v>
      </c>
      <c r="E386" s="246">
        <v>8.2454000000000001</v>
      </c>
      <c r="F386" s="195">
        <v>143.64699999999999</v>
      </c>
      <c r="G386" s="192">
        <v>76397.139879252703</v>
      </c>
      <c r="H386" s="192">
        <v>0</v>
      </c>
      <c r="I386" s="192">
        <v>0</v>
      </c>
      <c r="J386" s="192">
        <v>333757.21819897392</v>
      </c>
      <c r="K386" s="192">
        <v>10108.398211713438</v>
      </c>
      <c r="L386" s="192">
        <v>179817.91802845866</v>
      </c>
      <c r="M386" s="192">
        <v>0</v>
      </c>
      <c r="N386" s="192">
        <v>0</v>
      </c>
      <c r="O386" s="192">
        <v>13221.032957446143</v>
      </c>
      <c r="P386" s="192">
        <v>613301.70727584488</v>
      </c>
    </row>
    <row r="387" spans="1:16" x14ac:dyDescent="0.25">
      <c r="A387" s="175">
        <v>1</v>
      </c>
      <c r="B387" s="193" t="s">
        <v>1741</v>
      </c>
      <c r="C387" s="193"/>
      <c r="D387" s="198">
        <v>4104</v>
      </c>
      <c r="E387" s="618">
        <v>4.1500000000000002E-2</v>
      </c>
      <c r="F387" s="602">
        <v>4.1500000000000002E-2</v>
      </c>
      <c r="G387" s="197">
        <v>384.51516057304519</v>
      </c>
      <c r="H387" s="197">
        <v>0</v>
      </c>
      <c r="I387" s="197">
        <v>0</v>
      </c>
      <c r="J387" s="197">
        <v>0</v>
      </c>
      <c r="K387" s="197">
        <v>0</v>
      </c>
      <c r="L387" s="197">
        <v>0</v>
      </c>
      <c r="M387" s="197">
        <v>1479.8600000000001</v>
      </c>
      <c r="N387" s="197">
        <v>260160.02000000005</v>
      </c>
      <c r="O387" s="197">
        <v>66.542904860166274</v>
      </c>
      <c r="P387" s="197">
        <v>262090.93806543326</v>
      </c>
    </row>
    <row r="388" spans="1:16" x14ac:dyDescent="0.25">
      <c r="A388" s="175">
        <v>1</v>
      </c>
      <c r="B388" s="193"/>
      <c r="C388" s="193" t="s">
        <v>1706</v>
      </c>
      <c r="D388" s="198"/>
      <c r="E388" s="246">
        <v>8.2868999999999993</v>
      </c>
      <c r="F388" s="253">
        <v>143.6885</v>
      </c>
      <c r="G388" s="192">
        <v>76781.655039825753</v>
      </c>
      <c r="H388" s="192">
        <v>0</v>
      </c>
      <c r="I388" s="192">
        <v>0</v>
      </c>
      <c r="J388" s="192">
        <v>333757.21819897392</v>
      </c>
      <c r="K388" s="192">
        <v>10108.398211713438</v>
      </c>
      <c r="L388" s="192">
        <v>179817.91802845866</v>
      </c>
      <c r="M388" s="192">
        <v>1479.8600000000001</v>
      </c>
      <c r="N388" s="192">
        <v>260160.02000000005</v>
      </c>
      <c r="O388" s="192">
        <v>13287.575862306308</v>
      </c>
      <c r="P388" s="192">
        <v>875392.64534127817</v>
      </c>
    </row>
    <row r="389" spans="1:16" x14ac:dyDescent="0.25">
      <c r="A389" s="175">
        <v>1</v>
      </c>
      <c r="B389" s="193"/>
      <c r="C389" s="193"/>
      <c r="D389" s="198"/>
      <c r="E389" s="246"/>
      <c r="F389" s="230"/>
      <c r="G389" s="192"/>
      <c r="H389" s="192"/>
      <c r="I389" s="192"/>
      <c r="J389" s="192"/>
      <c r="K389" s="192"/>
      <c r="L389" s="192"/>
      <c r="M389" s="192"/>
      <c r="N389" s="192"/>
      <c r="O389" s="192"/>
      <c r="P389" s="192"/>
    </row>
    <row r="390" spans="1:16" x14ac:dyDescent="0.25">
      <c r="A390" s="175">
        <v>1</v>
      </c>
      <c r="B390" s="193" t="s">
        <v>1707</v>
      </c>
      <c r="C390" s="193"/>
      <c r="D390" s="198">
        <v>4108</v>
      </c>
      <c r="E390" s="246">
        <v>28.360600000000002</v>
      </c>
      <c r="F390" s="195">
        <v>169.202</v>
      </c>
      <c r="G390" s="192">
        <v>1352307.0206541531</v>
      </c>
      <c r="H390" s="192">
        <v>508838.23295692727</v>
      </c>
      <c r="I390" s="192">
        <v>0</v>
      </c>
      <c r="J390" s="192">
        <v>2365828.7597391643</v>
      </c>
      <c r="K390" s="192">
        <v>261222.23864155269</v>
      </c>
      <c r="L390" s="192">
        <v>2371885.409395338</v>
      </c>
      <c r="M390" s="192">
        <v>17.753659838536187</v>
      </c>
      <c r="N390" s="192">
        <v>0</v>
      </c>
      <c r="O390" s="192">
        <v>76118.576869906989</v>
      </c>
      <c r="P390" s="192">
        <v>6936217.9919168809</v>
      </c>
    </row>
    <row r="391" spans="1:16" x14ac:dyDescent="0.25">
      <c r="A391" s="175">
        <v>1</v>
      </c>
      <c r="B391" s="193"/>
      <c r="C391" s="193"/>
      <c r="D391" s="178"/>
      <c r="E391" s="246"/>
      <c r="F391" s="230"/>
      <c r="G391" s="192"/>
      <c r="H391" s="192"/>
      <c r="I391" s="192"/>
      <c r="J391" s="192"/>
      <c r="K391" s="192"/>
      <c r="L391" s="192"/>
      <c r="M391" s="192"/>
      <c r="N391" s="192"/>
      <c r="O391" s="192"/>
      <c r="P391" s="192"/>
    </row>
    <row r="392" spans="1:16" x14ac:dyDescent="0.25">
      <c r="A392" s="175">
        <v>1</v>
      </c>
      <c r="B392" s="193" t="s">
        <v>1708</v>
      </c>
      <c r="C392" s="193"/>
      <c r="D392" s="178">
        <v>4108</v>
      </c>
      <c r="E392" s="246">
        <v>28.358000000000001</v>
      </c>
      <c r="F392" s="195">
        <v>169.202</v>
      </c>
      <c r="G392" s="192">
        <v>1352183.045905604</v>
      </c>
      <c r="H392" s="192">
        <v>508791.58445845795</v>
      </c>
      <c r="I392" s="192">
        <v>0</v>
      </c>
      <c r="J392" s="192">
        <v>2365611.8688844107</v>
      </c>
      <c r="K392" s="192">
        <v>261198.29070601999</v>
      </c>
      <c r="L392" s="192">
        <v>2371667.9632882592</v>
      </c>
      <c r="M392" s="192">
        <v>17.752032245481733</v>
      </c>
      <c r="N392" s="192">
        <v>0</v>
      </c>
      <c r="O392" s="192">
        <v>76111.598586659748</v>
      </c>
      <c r="P392" s="192">
        <v>6935582.103861657</v>
      </c>
    </row>
    <row r="393" spans="1:16" x14ac:dyDescent="0.25">
      <c r="A393" s="175">
        <v>1</v>
      </c>
      <c r="B393" s="193"/>
      <c r="C393" s="193"/>
      <c r="D393" s="178"/>
      <c r="E393" s="246"/>
      <c r="F393" s="230"/>
      <c r="G393" s="192"/>
      <c r="H393" s="192"/>
      <c r="I393" s="192"/>
      <c r="J393" s="192"/>
      <c r="K393" s="192"/>
      <c r="L393" s="192"/>
      <c r="M393" s="192"/>
      <c r="N393" s="192"/>
      <c r="O393" s="192"/>
      <c r="P393" s="192"/>
    </row>
    <row r="394" spans="1:16" x14ac:dyDescent="0.25">
      <c r="A394" s="175">
        <v>1</v>
      </c>
      <c r="B394" s="193" t="s">
        <v>1709</v>
      </c>
      <c r="C394" s="193"/>
      <c r="D394" s="178">
        <v>4108</v>
      </c>
      <c r="E394" s="246">
        <v>40.350300000000004</v>
      </c>
      <c r="F394" s="195">
        <v>169.202</v>
      </c>
      <c r="G394" s="192">
        <v>1924007.0370690776</v>
      </c>
      <c r="H394" s="192">
        <v>723954.19530200004</v>
      </c>
      <c r="I394" s="192">
        <v>0</v>
      </c>
      <c r="J394" s="192">
        <v>3366004.2525229794</v>
      </c>
      <c r="K394" s="192">
        <v>371656.30120160518</v>
      </c>
      <c r="L394" s="192">
        <v>3374621.4055670449</v>
      </c>
      <c r="M394" s="192">
        <v>25.259180009692557</v>
      </c>
      <c r="N394" s="192">
        <v>0</v>
      </c>
      <c r="O394" s="192">
        <v>108298.39327354879</v>
      </c>
      <c r="P394" s="192">
        <v>9868566.8441162668</v>
      </c>
    </row>
    <row r="395" spans="1:16" x14ac:dyDescent="0.25">
      <c r="A395" s="175">
        <v>1</v>
      </c>
      <c r="B395" s="193"/>
      <c r="C395" s="193"/>
      <c r="D395" s="178"/>
      <c r="E395" s="246"/>
      <c r="F395" s="230"/>
      <c r="G395" s="192"/>
      <c r="H395" s="192"/>
      <c r="I395" s="192"/>
      <c r="J395" s="192"/>
      <c r="K395" s="192"/>
      <c r="L395" s="192"/>
      <c r="M395" s="192"/>
      <c r="N395" s="192"/>
      <c r="O395" s="192"/>
      <c r="P395" s="192"/>
    </row>
    <row r="396" spans="1:16" x14ac:dyDescent="0.25">
      <c r="A396" s="175">
        <v>1</v>
      </c>
      <c r="B396" s="193" t="s">
        <v>1710</v>
      </c>
      <c r="C396" s="193"/>
      <c r="D396" s="178">
        <v>4108</v>
      </c>
      <c r="E396" s="246">
        <v>21.882841259999999</v>
      </c>
      <c r="F396" s="195">
        <v>169.202</v>
      </c>
      <c r="G396" s="192">
        <v>1043430.6702875952</v>
      </c>
      <c r="H396" s="192">
        <v>392616.03346950834</v>
      </c>
      <c r="I396" s="192">
        <v>0</v>
      </c>
      <c r="J396" s="192">
        <v>1825456.9789678215</v>
      </c>
      <c r="K396" s="192">
        <v>201557.2583716471</v>
      </c>
      <c r="L396" s="192">
        <v>1830130.2476219928</v>
      </c>
      <c r="M396" s="192">
        <v>13.698600171742649</v>
      </c>
      <c r="N396" s="192">
        <v>0</v>
      </c>
      <c r="O396" s="192">
        <v>58732.563294897918</v>
      </c>
      <c r="P396" s="192">
        <v>5351937.4506136347</v>
      </c>
    </row>
    <row r="397" spans="1:16" x14ac:dyDescent="0.25">
      <c r="A397" s="175">
        <v>1</v>
      </c>
      <c r="B397" s="193"/>
      <c r="C397" s="193"/>
      <c r="D397" s="178"/>
      <c r="E397" s="246"/>
      <c r="F397" s="230"/>
      <c r="G397" s="192"/>
      <c r="H397" s="192"/>
      <c r="I397" s="192"/>
      <c r="J397" s="192"/>
      <c r="K397" s="192"/>
      <c r="L397" s="192"/>
      <c r="M397" s="192"/>
      <c r="N397" s="192"/>
      <c r="O397" s="192"/>
      <c r="P397" s="192"/>
    </row>
    <row r="398" spans="1:16" x14ac:dyDescent="0.25">
      <c r="A398" s="175">
        <v>1</v>
      </c>
      <c r="B398" s="193" t="s">
        <v>1711</v>
      </c>
      <c r="C398" s="193"/>
      <c r="D398" s="178">
        <v>4059</v>
      </c>
      <c r="E398" s="269">
        <v>2.7389999999999999</v>
      </c>
      <c r="F398" s="195">
        <v>2.7390000000000003</v>
      </c>
      <c r="G398" s="192">
        <v>13001.63</v>
      </c>
      <c r="H398" s="192">
        <v>0</v>
      </c>
      <c r="I398" s="192">
        <v>0</v>
      </c>
      <c r="J398" s="192">
        <v>333663.37999999995</v>
      </c>
      <c r="K398" s="192">
        <v>0</v>
      </c>
      <c r="L398" s="192">
        <v>202342.83999999994</v>
      </c>
      <c r="M398" s="192">
        <v>0</v>
      </c>
      <c r="N398" s="192">
        <v>0</v>
      </c>
      <c r="O398" s="192">
        <v>20952.759999999998</v>
      </c>
      <c r="P398" s="192">
        <v>569960.60999999987</v>
      </c>
    </row>
    <row r="399" spans="1:16" x14ac:dyDescent="0.25">
      <c r="A399" s="175">
        <v>1</v>
      </c>
      <c r="B399" s="193" t="s">
        <v>1711</v>
      </c>
      <c r="C399" s="193"/>
      <c r="D399" s="178">
        <v>4125</v>
      </c>
      <c r="E399" s="246">
        <v>40.285900000000005</v>
      </c>
      <c r="F399" s="195">
        <v>414.74720000000002</v>
      </c>
      <c r="G399" s="192">
        <v>1108742.664342291</v>
      </c>
      <c r="H399" s="192">
        <v>171904.30510877716</v>
      </c>
      <c r="I399" s="192">
        <v>186.3129820984928</v>
      </c>
      <c r="J399" s="192">
        <v>3040474.3374645594</v>
      </c>
      <c r="K399" s="192">
        <v>47801.689214834973</v>
      </c>
      <c r="L399" s="192">
        <v>1341035.9616383908</v>
      </c>
      <c r="M399" s="192">
        <v>0</v>
      </c>
      <c r="N399" s="192">
        <v>0</v>
      </c>
      <c r="O399" s="192">
        <v>173010.8465357114</v>
      </c>
      <c r="P399" s="192">
        <v>5883156.1172866635</v>
      </c>
    </row>
    <row r="400" spans="1:16" x14ac:dyDescent="0.25">
      <c r="A400" s="175">
        <v>1</v>
      </c>
      <c r="B400" s="193" t="s">
        <v>1711</v>
      </c>
      <c r="C400" s="193"/>
      <c r="D400" s="178">
        <v>4147</v>
      </c>
      <c r="E400" s="618">
        <v>27.4832</v>
      </c>
      <c r="F400" s="196">
        <v>27.483199999999997</v>
      </c>
      <c r="G400" s="197">
        <v>3855187.6400000006</v>
      </c>
      <c r="H400" s="197">
        <v>0</v>
      </c>
      <c r="I400" s="197">
        <v>1880.0200000000004</v>
      </c>
      <c r="J400" s="197">
        <v>2767069.9200000004</v>
      </c>
      <c r="K400" s="197">
        <v>0</v>
      </c>
      <c r="L400" s="197">
        <v>1983886.9200000002</v>
      </c>
      <c r="M400" s="197">
        <v>0</v>
      </c>
      <c r="N400" s="197">
        <v>0</v>
      </c>
      <c r="O400" s="197">
        <v>145186.74</v>
      </c>
      <c r="P400" s="197">
        <v>8753211.2400000021</v>
      </c>
    </row>
    <row r="401" spans="1:16" x14ac:dyDescent="0.25">
      <c r="A401" s="175">
        <v>1</v>
      </c>
      <c r="B401" s="193"/>
      <c r="C401" s="193" t="s">
        <v>1712</v>
      </c>
      <c r="D401" s="178"/>
      <c r="E401" s="246">
        <v>70.508099999999999</v>
      </c>
      <c r="F401" s="253">
        <v>444.96940000000001</v>
      </c>
      <c r="G401" s="192">
        <v>4976931.9343422912</v>
      </c>
      <c r="H401" s="192">
        <v>171904.30510877716</v>
      </c>
      <c r="I401" s="192">
        <v>2066.3329820984932</v>
      </c>
      <c r="J401" s="192">
        <v>6141207.6374645596</v>
      </c>
      <c r="K401" s="192">
        <v>47801.689214834973</v>
      </c>
      <c r="L401" s="192">
        <v>3527265.7216383908</v>
      </c>
      <c r="M401" s="192">
        <v>0</v>
      </c>
      <c r="N401" s="192">
        <v>0</v>
      </c>
      <c r="O401" s="192">
        <v>339150.34653571143</v>
      </c>
      <c r="P401" s="192">
        <v>15206327.967286665</v>
      </c>
    </row>
    <row r="402" spans="1:16" x14ac:dyDescent="0.25">
      <c r="A402" s="175">
        <v>1</v>
      </c>
      <c r="B402" s="193"/>
      <c r="C402" s="193"/>
      <c r="D402" s="178"/>
      <c r="E402" s="246"/>
      <c r="F402" s="230"/>
      <c r="G402" s="192"/>
      <c r="H402" s="192"/>
      <c r="I402" s="192"/>
      <c r="J402" s="192"/>
      <c r="K402" s="192"/>
      <c r="L402" s="192"/>
      <c r="M402" s="192"/>
      <c r="N402" s="192"/>
      <c r="O402" s="192"/>
      <c r="P402" s="192"/>
    </row>
    <row r="403" spans="1:16" x14ac:dyDescent="0.25">
      <c r="A403" s="175">
        <v>1</v>
      </c>
      <c r="B403" s="193" t="s">
        <v>1713</v>
      </c>
      <c r="C403" s="193"/>
      <c r="D403" s="178">
        <v>4189</v>
      </c>
      <c r="E403" s="246">
        <v>3.2422</v>
      </c>
      <c r="F403" s="195">
        <v>6.4975000000000005</v>
      </c>
      <c r="G403" s="192">
        <v>39045.02993520585</v>
      </c>
      <c r="H403" s="192">
        <v>0</v>
      </c>
      <c r="I403" s="192">
        <v>0</v>
      </c>
      <c r="J403" s="192">
        <v>759195.37332050782</v>
      </c>
      <c r="K403" s="192">
        <v>0</v>
      </c>
      <c r="L403" s="192">
        <v>697163.3973762216</v>
      </c>
      <c r="M403" s="192">
        <v>0</v>
      </c>
      <c r="N403" s="192">
        <v>0</v>
      </c>
      <c r="O403" s="192">
        <v>0</v>
      </c>
      <c r="P403" s="192">
        <v>1495403.8006319352</v>
      </c>
    </row>
    <row r="404" spans="1:16" x14ac:dyDescent="0.25">
      <c r="A404" s="175">
        <v>1</v>
      </c>
      <c r="B404" s="193"/>
      <c r="C404" s="193"/>
      <c r="D404" s="178"/>
      <c r="E404" s="246"/>
      <c r="F404" s="230"/>
      <c r="G404" s="192"/>
      <c r="H404" s="192"/>
      <c r="I404" s="192"/>
      <c r="J404" s="192"/>
      <c r="K404" s="192"/>
      <c r="L404" s="192"/>
      <c r="M404" s="192"/>
      <c r="N404" s="192"/>
      <c r="O404" s="192"/>
      <c r="P404" s="192"/>
    </row>
    <row r="405" spans="1:16" x14ac:dyDescent="0.25">
      <c r="A405" s="175">
        <v>1</v>
      </c>
      <c r="B405" s="193" t="s">
        <v>0</v>
      </c>
      <c r="C405" s="193"/>
      <c r="D405" s="265">
        <v>4189</v>
      </c>
      <c r="E405" s="269">
        <v>3.2553000000000001</v>
      </c>
      <c r="F405" s="195">
        <v>6.4975000000000005</v>
      </c>
      <c r="G405" s="214">
        <v>39202.79006479415</v>
      </c>
      <c r="H405" s="214">
        <v>0</v>
      </c>
      <c r="I405" s="214">
        <v>0</v>
      </c>
      <c r="J405" s="214">
        <v>762262.87667949207</v>
      </c>
      <c r="K405" s="214">
        <v>0</v>
      </c>
      <c r="L405" s="214">
        <v>699980.26262377843</v>
      </c>
      <c r="M405" s="214">
        <v>0</v>
      </c>
      <c r="N405" s="214">
        <v>0</v>
      </c>
      <c r="O405" s="214">
        <v>0</v>
      </c>
      <c r="P405" s="214">
        <v>1501445.9293680647</v>
      </c>
    </row>
    <row r="406" spans="1:16" x14ac:dyDescent="0.25">
      <c r="A406" s="175">
        <v>1</v>
      </c>
      <c r="B406" s="193"/>
      <c r="C406" s="193"/>
      <c r="D406" s="265"/>
      <c r="E406" s="269"/>
      <c r="F406" s="195"/>
      <c r="G406" s="214"/>
      <c r="H406" s="214"/>
      <c r="I406" s="214"/>
      <c r="J406" s="214"/>
      <c r="K406" s="214"/>
      <c r="L406" s="214"/>
      <c r="M406" s="214"/>
      <c r="N406" s="214"/>
      <c r="O406" s="214"/>
      <c r="P406" s="214"/>
    </row>
    <row r="407" spans="1:16" x14ac:dyDescent="0.25">
      <c r="A407" s="175">
        <v>1</v>
      </c>
      <c r="B407" s="234" t="s">
        <v>100</v>
      </c>
      <c r="C407" s="234"/>
      <c r="D407" s="178">
        <v>5015</v>
      </c>
      <c r="E407" s="280"/>
      <c r="F407" s="195"/>
      <c r="G407" s="214" t="s">
        <v>1776</v>
      </c>
      <c r="H407" s="214" t="s">
        <v>1776</v>
      </c>
      <c r="I407" s="214" t="s">
        <v>1776</v>
      </c>
      <c r="J407" s="214">
        <v>0</v>
      </c>
      <c r="K407" s="214">
        <v>0</v>
      </c>
      <c r="L407" s="214">
        <v>0</v>
      </c>
      <c r="M407" s="214">
        <v>0</v>
      </c>
      <c r="N407" s="214">
        <v>0</v>
      </c>
      <c r="O407" s="214">
        <v>1417.6494560000001</v>
      </c>
      <c r="P407" s="214">
        <v>1417.6494560000001</v>
      </c>
    </row>
    <row r="408" spans="1:16" x14ac:dyDescent="0.25">
      <c r="A408" s="175">
        <v>1</v>
      </c>
      <c r="B408" s="234"/>
      <c r="C408" s="234"/>
      <c r="D408" s="178"/>
      <c r="E408" s="280"/>
      <c r="F408" s="195"/>
      <c r="G408" s="214"/>
      <c r="H408" s="214"/>
      <c r="I408" s="214"/>
      <c r="J408" s="214"/>
      <c r="K408" s="214"/>
      <c r="L408" s="214"/>
      <c r="M408" s="214"/>
      <c r="N408" s="214"/>
      <c r="O408" s="214"/>
      <c r="P408" s="214"/>
    </row>
    <row r="409" spans="1:16" x14ac:dyDescent="0.25">
      <c r="A409" s="175">
        <v>1</v>
      </c>
      <c r="B409" s="234" t="s">
        <v>101</v>
      </c>
      <c r="C409" s="234"/>
      <c r="D409" s="178">
        <v>5053</v>
      </c>
      <c r="E409" s="280"/>
      <c r="F409" s="195"/>
      <c r="G409" s="214" t="s">
        <v>1776</v>
      </c>
      <c r="H409" s="214" t="s">
        <v>1776</v>
      </c>
      <c r="I409" s="214" t="s">
        <v>1776</v>
      </c>
      <c r="J409" s="214">
        <v>0</v>
      </c>
      <c r="K409" s="214">
        <v>0</v>
      </c>
      <c r="L409" s="214">
        <v>0</v>
      </c>
      <c r="M409" s="214">
        <v>0</v>
      </c>
      <c r="N409" s="214">
        <v>0</v>
      </c>
      <c r="O409" s="214">
        <v>6071.3024160000004</v>
      </c>
      <c r="P409" s="214">
        <v>6071.3024160000004</v>
      </c>
    </row>
    <row r="410" spans="1:16" x14ac:dyDescent="0.25">
      <c r="A410" s="175">
        <v>1</v>
      </c>
      <c r="B410" s="193"/>
      <c r="C410" s="193"/>
      <c r="D410" s="178"/>
      <c r="E410" s="246"/>
      <c r="F410" s="230"/>
      <c r="G410" s="192"/>
      <c r="H410" s="192"/>
      <c r="I410" s="192"/>
      <c r="J410" s="192"/>
      <c r="K410" s="192"/>
      <c r="L410" s="192"/>
      <c r="M410" s="192"/>
      <c r="N410" s="192"/>
      <c r="O410" s="192"/>
      <c r="P410" s="192"/>
    </row>
    <row r="411" spans="1:16" x14ac:dyDescent="0.25">
      <c r="A411" s="175">
        <v>1</v>
      </c>
      <c r="B411" s="234" t="s">
        <v>103</v>
      </c>
      <c r="C411" s="234"/>
      <c r="D411" s="178">
        <v>5083</v>
      </c>
      <c r="E411" s="280"/>
      <c r="F411" s="195"/>
      <c r="G411" s="214" t="s">
        <v>1776</v>
      </c>
      <c r="H411" s="214" t="s">
        <v>1776</v>
      </c>
      <c r="I411" s="214" t="s">
        <v>1776</v>
      </c>
      <c r="J411" s="214">
        <v>0</v>
      </c>
      <c r="K411" s="214">
        <v>0</v>
      </c>
      <c r="L411" s="233">
        <v>0</v>
      </c>
      <c r="M411" s="233">
        <v>1.5260320000000001</v>
      </c>
      <c r="N411" s="192">
        <v>0</v>
      </c>
      <c r="O411" s="192">
        <v>0</v>
      </c>
      <c r="P411" s="214">
        <v>1.5260320000000001</v>
      </c>
    </row>
    <row r="412" spans="1:16" x14ac:dyDescent="0.25">
      <c r="A412" s="175">
        <v>1</v>
      </c>
      <c r="B412" s="234"/>
      <c r="C412" s="234"/>
      <c r="D412" s="603"/>
      <c r="E412" s="606"/>
      <c r="F412" s="221"/>
      <c r="G412" s="182"/>
      <c r="H412" s="182"/>
      <c r="I412" s="182"/>
      <c r="J412" s="182"/>
      <c r="K412" s="182"/>
      <c r="L412" s="182"/>
      <c r="M412" s="182"/>
      <c r="N412" s="182"/>
      <c r="O412" s="182"/>
      <c r="P412" s="182"/>
    </row>
    <row r="413" spans="1:16" ht="15.75" thickBot="1" x14ac:dyDescent="0.3">
      <c r="A413" s="175">
        <v>1</v>
      </c>
      <c r="B413" s="238"/>
      <c r="C413" s="202" t="s">
        <v>1</v>
      </c>
      <c r="D413" s="203"/>
      <c r="E413" s="239">
        <v>3236.3843999999985</v>
      </c>
      <c r="F413" s="241">
        <v>26314.633300000034</v>
      </c>
      <c r="G413" s="267">
        <v>65722570.155384213</v>
      </c>
      <c r="H413" s="267">
        <v>6610778.8917293996</v>
      </c>
      <c r="I413" s="267">
        <v>754805.11898506596</v>
      </c>
      <c r="J413" s="267">
        <v>305979338.0506103</v>
      </c>
      <c r="K413" s="267">
        <v>58857688.612117611</v>
      </c>
      <c r="L413" s="267">
        <v>206358826.46745747</v>
      </c>
      <c r="M413" s="267">
        <v>182397.85866485594</v>
      </c>
      <c r="N413" s="267">
        <v>716987.9800000001</v>
      </c>
      <c r="O413" s="267">
        <v>96034584.803749502</v>
      </c>
      <c r="P413" s="267">
        <v>741217977.93869841</v>
      </c>
    </row>
    <row r="414" spans="1:16" ht="15.75" thickTop="1" x14ac:dyDescent="0.25">
      <c r="A414" s="175">
        <v>1</v>
      </c>
      <c r="B414" s="193"/>
      <c r="C414" s="268"/>
      <c r="D414" s="178"/>
      <c r="E414" s="269"/>
      <c r="F414" s="230"/>
      <c r="G414" s="214"/>
      <c r="H414" s="214"/>
      <c r="I414" s="214"/>
      <c r="J414" s="214"/>
      <c r="K414" s="214"/>
      <c r="L414" s="214"/>
      <c r="M414" s="214"/>
      <c r="N414" s="214"/>
      <c r="O414" s="214"/>
      <c r="P414" s="214"/>
    </row>
    <row r="415" spans="1:16" x14ac:dyDescent="0.25">
      <c r="A415" s="175">
        <v>1</v>
      </c>
      <c r="B415" s="193"/>
      <c r="C415" s="268"/>
      <c r="D415" s="178"/>
      <c r="E415" s="269"/>
      <c r="F415" s="230"/>
      <c r="G415" s="214"/>
      <c r="H415" s="214"/>
      <c r="I415" s="214"/>
      <c r="J415" s="214"/>
      <c r="K415" s="214"/>
      <c r="L415" s="214"/>
      <c r="M415" s="214"/>
      <c r="N415" s="214"/>
      <c r="O415" s="214"/>
      <c r="P415" s="214"/>
    </row>
    <row r="416" spans="1:16" x14ac:dyDescent="0.25">
      <c r="A416" s="175">
        <v>1</v>
      </c>
      <c r="B416" s="193"/>
      <c r="C416" s="268"/>
      <c r="D416" s="178"/>
      <c r="E416" s="246"/>
      <c r="F416" s="230"/>
      <c r="G416" s="192"/>
      <c r="H416" s="192"/>
      <c r="I416" s="192"/>
      <c r="J416" s="192"/>
      <c r="K416" s="192"/>
      <c r="L416" s="192"/>
      <c r="M416" s="192"/>
      <c r="N416" s="192"/>
      <c r="O416" s="192"/>
      <c r="P416" s="192"/>
    </row>
    <row r="417" spans="1:16" x14ac:dyDescent="0.25">
      <c r="A417" s="175">
        <v>1</v>
      </c>
      <c r="B417" s="193"/>
      <c r="C417" s="176" t="s">
        <v>2</v>
      </c>
      <c r="D417" s="178"/>
      <c r="E417" s="246"/>
      <c r="F417" s="230"/>
      <c r="G417" s="192"/>
      <c r="H417" s="192"/>
      <c r="I417" s="192"/>
      <c r="J417" s="192"/>
      <c r="K417" s="192"/>
      <c r="L417" s="192"/>
      <c r="M417" s="192"/>
      <c r="N417" s="192"/>
      <c r="O417" s="192"/>
      <c r="P417" s="192"/>
    </row>
    <row r="418" spans="1:16" x14ac:dyDescent="0.25">
      <c r="A418" s="175">
        <v>1</v>
      </c>
      <c r="B418" s="193" t="s">
        <v>3</v>
      </c>
      <c r="C418" s="176"/>
      <c r="D418" s="178">
        <v>4759</v>
      </c>
      <c r="E418" s="618">
        <v>53.021099999999997</v>
      </c>
      <c r="F418" s="195">
        <v>53.021099999999997</v>
      </c>
      <c r="G418" s="197">
        <v>33310</v>
      </c>
      <c r="H418" s="197">
        <v>0</v>
      </c>
      <c r="I418" s="197">
        <v>0</v>
      </c>
      <c r="J418" s="197">
        <v>0</v>
      </c>
      <c r="K418" s="197">
        <v>2000559.98</v>
      </c>
      <c r="L418" s="197">
        <v>331263.41000000003</v>
      </c>
      <c r="M418" s="197">
        <v>0</v>
      </c>
      <c r="N418" s="197">
        <v>0</v>
      </c>
      <c r="O418" s="197">
        <v>4845.05</v>
      </c>
      <c r="P418" s="197">
        <v>2369978.44</v>
      </c>
    </row>
    <row r="419" spans="1:16" ht="15.75" thickBot="1" x14ac:dyDescent="0.3">
      <c r="A419" s="175">
        <v>1</v>
      </c>
      <c r="B419" s="238"/>
      <c r="C419" s="202" t="s">
        <v>4</v>
      </c>
      <c r="D419" s="203"/>
      <c r="E419" s="239">
        <v>53.021099999999997</v>
      </c>
      <c r="F419" s="241">
        <v>53.021099999999997</v>
      </c>
      <c r="G419" s="242">
        <v>33310</v>
      </c>
      <c r="H419" s="242">
        <v>0</v>
      </c>
      <c r="I419" s="242">
        <v>0</v>
      </c>
      <c r="J419" s="242">
        <v>0</v>
      </c>
      <c r="K419" s="242">
        <v>2000559.98</v>
      </c>
      <c r="L419" s="242">
        <v>331263.41000000003</v>
      </c>
      <c r="M419" s="242">
        <v>0</v>
      </c>
      <c r="N419" s="242">
        <v>0</v>
      </c>
      <c r="O419" s="242">
        <v>4845.05</v>
      </c>
      <c r="P419" s="242">
        <v>2369978.44</v>
      </c>
    </row>
    <row r="420" spans="1:16" ht="15.75" thickTop="1" x14ac:dyDescent="0.25">
      <c r="A420" s="175">
        <v>1</v>
      </c>
      <c r="B420" s="193"/>
      <c r="C420" s="176"/>
      <c r="D420" s="178"/>
      <c r="E420" s="246"/>
      <c r="F420" s="230"/>
      <c r="G420" s="192"/>
      <c r="H420" s="192"/>
      <c r="I420" s="192"/>
      <c r="J420" s="192"/>
      <c r="K420" s="192"/>
      <c r="L420" s="192"/>
      <c r="M420" s="192"/>
      <c r="N420" s="192"/>
      <c r="O420" s="192"/>
      <c r="P420" s="192"/>
    </row>
    <row r="421" spans="1:16" x14ac:dyDescent="0.25">
      <c r="A421" s="175">
        <v>1</v>
      </c>
      <c r="B421" s="193"/>
      <c r="C421" s="176" t="s">
        <v>5</v>
      </c>
      <c r="D421" s="178"/>
      <c r="E421" s="246"/>
      <c r="F421" s="230"/>
      <c r="G421" s="192"/>
      <c r="H421" s="192"/>
      <c r="I421" s="192"/>
      <c r="J421" s="192"/>
      <c r="K421" s="192"/>
      <c r="L421" s="192"/>
      <c r="M421" s="192"/>
      <c r="N421" s="192"/>
      <c r="O421" s="192"/>
      <c r="P421" s="192"/>
    </row>
    <row r="422" spans="1:16" x14ac:dyDescent="0.25">
      <c r="A422" s="175">
        <v>1</v>
      </c>
      <c r="B422" s="193"/>
      <c r="C422" s="176"/>
      <c r="D422" s="178"/>
      <c r="E422" s="246"/>
      <c r="F422" s="230"/>
      <c r="G422" s="192"/>
      <c r="H422" s="192"/>
      <c r="I422" s="192"/>
      <c r="J422" s="192"/>
      <c r="K422" s="192"/>
      <c r="L422" s="192"/>
      <c r="M422" s="192"/>
      <c r="N422" s="192"/>
      <c r="O422" s="192"/>
      <c r="P422" s="192"/>
    </row>
    <row r="423" spans="1:16" x14ac:dyDescent="0.25">
      <c r="A423" s="175">
        <v>1</v>
      </c>
      <c r="B423" s="193" t="s">
        <v>6</v>
      </c>
      <c r="C423" s="176"/>
      <c r="D423" s="178">
        <v>4750</v>
      </c>
      <c r="E423" s="243">
        <v>125.6204318181818</v>
      </c>
      <c r="F423" s="195">
        <v>1640.72165</v>
      </c>
      <c r="G423" s="192">
        <v>1076543.279963824</v>
      </c>
      <c r="H423" s="192">
        <v>218.07586848351889</v>
      </c>
      <c r="I423" s="192">
        <v>32293.49126512817</v>
      </c>
      <c r="J423" s="192">
        <v>298904.84163115209</v>
      </c>
      <c r="K423" s="192">
        <v>6795737.0929565039</v>
      </c>
      <c r="L423" s="192">
        <v>3841056.9151446065</v>
      </c>
      <c r="M423" s="192">
        <v>0</v>
      </c>
      <c r="N423" s="214">
        <v>0</v>
      </c>
      <c r="O423" s="192">
        <v>140663.93634318362</v>
      </c>
      <c r="P423" s="192">
        <v>12185417.633172883</v>
      </c>
    </row>
    <row r="424" spans="1:16" x14ac:dyDescent="0.25">
      <c r="A424" s="175">
        <v>1</v>
      </c>
      <c r="B424" s="193"/>
      <c r="C424" s="176"/>
      <c r="D424" s="178"/>
      <c r="E424" s="246"/>
      <c r="F424" s="230"/>
      <c r="G424" s="192"/>
      <c r="H424" s="192"/>
      <c r="I424" s="192"/>
      <c r="J424" s="192"/>
      <c r="K424" s="192"/>
      <c r="L424" s="192"/>
      <c r="M424" s="192"/>
      <c r="N424" s="192"/>
      <c r="O424" s="192"/>
      <c r="P424" s="192"/>
    </row>
    <row r="425" spans="1:16" x14ac:dyDescent="0.25">
      <c r="A425" s="175">
        <v>1</v>
      </c>
      <c r="B425" s="193" t="s">
        <v>7</v>
      </c>
      <c r="C425" s="176"/>
      <c r="D425" s="178">
        <v>4750</v>
      </c>
      <c r="E425" s="243">
        <v>125.58821666666667</v>
      </c>
      <c r="F425" s="195">
        <v>1640.72165</v>
      </c>
      <c r="G425" s="192">
        <v>1076267.2022241228</v>
      </c>
      <c r="H425" s="192">
        <v>218.01994328852231</v>
      </c>
      <c r="I425" s="192">
        <v>32285.209652821944</v>
      </c>
      <c r="J425" s="192">
        <v>298828.18797997141</v>
      </c>
      <c r="K425" s="192">
        <v>6793994.3374434244</v>
      </c>
      <c r="L425" s="192">
        <v>3840071.8824655376</v>
      </c>
      <c r="M425" s="192">
        <v>0</v>
      </c>
      <c r="N425" s="214">
        <v>0</v>
      </c>
      <c r="O425" s="192">
        <v>140627.8633098687</v>
      </c>
      <c r="P425" s="192">
        <v>12182292.703019036</v>
      </c>
    </row>
    <row r="426" spans="1:16" x14ac:dyDescent="0.25">
      <c r="A426" s="175">
        <v>1</v>
      </c>
      <c r="B426" s="193"/>
      <c r="C426" s="176"/>
      <c r="D426" s="178"/>
      <c r="E426" s="246"/>
      <c r="F426" s="230"/>
      <c r="G426" s="192"/>
      <c r="H426" s="192"/>
      <c r="I426" s="192"/>
      <c r="J426" s="192"/>
      <c r="K426" s="192"/>
      <c r="L426" s="192"/>
      <c r="M426" s="192"/>
      <c r="N426" s="192"/>
      <c r="O426" s="192"/>
      <c r="P426" s="192"/>
    </row>
    <row r="427" spans="1:16" x14ac:dyDescent="0.25">
      <c r="A427" s="175">
        <v>1</v>
      </c>
      <c r="B427" s="193" t="s">
        <v>8</v>
      </c>
      <c r="C427" s="176"/>
      <c r="D427" s="178">
        <v>4750</v>
      </c>
      <c r="E427" s="246">
        <v>2.8635999999999999</v>
      </c>
      <c r="F427" s="195">
        <v>1640.72165</v>
      </c>
      <c r="G427" s="192">
        <v>24540.508991135433</v>
      </c>
      <c r="H427" s="192">
        <v>4.9711822189343859</v>
      </c>
      <c r="I427" s="192">
        <v>736.15127928127754</v>
      </c>
      <c r="J427" s="192">
        <v>6813.7315889331394</v>
      </c>
      <c r="K427" s="192">
        <v>154913.27690670811</v>
      </c>
      <c r="L427" s="192">
        <v>87559.407518420179</v>
      </c>
      <c r="M427" s="192">
        <v>0</v>
      </c>
      <c r="N427" s="214">
        <v>0</v>
      </c>
      <c r="O427" s="192">
        <v>3206.5265361875645</v>
      </c>
      <c r="P427" s="192">
        <v>277774.57400288462</v>
      </c>
    </row>
    <row r="428" spans="1:16" x14ac:dyDescent="0.25">
      <c r="A428" s="175">
        <v>1</v>
      </c>
      <c r="B428" s="193"/>
      <c r="C428" s="176"/>
      <c r="D428" s="178"/>
      <c r="E428" s="246"/>
      <c r="F428" s="230"/>
      <c r="G428" s="192"/>
      <c r="H428" s="192"/>
      <c r="I428" s="192"/>
      <c r="J428" s="192"/>
      <c r="K428" s="192"/>
      <c r="L428" s="192"/>
      <c r="M428" s="192"/>
      <c r="N428" s="192"/>
      <c r="O428" s="192"/>
      <c r="P428" s="192"/>
    </row>
    <row r="429" spans="1:16" x14ac:dyDescent="0.25">
      <c r="A429" s="175">
        <v>1</v>
      </c>
      <c r="B429" s="193" t="s">
        <v>9</v>
      </c>
      <c r="C429" s="176"/>
      <c r="D429" s="178">
        <v>4750</v>
      </c>
      <c r="E429" s="243">
        <v>11.262924242424244</v>
      </c>
      <c r="F429" s="195">
        <v>1640.72165</v>
      </c>
      <c r="G429" s="192">
        <v>96521.12503062209</v>
      </c>
      <c r="H429" s="192">
        <v>19.552328791431918</v>
      </c>
      <c r="I429" s="192">
        <v>2895.3820678547008</v>
      </c>
      <c r="J429" s="192">
        <v>26799.323471981745</v>
      </c>
      <c r="K429" s="192">
        <v>609294.76950200542</v>
      </c>
      <c r="L429" s="192">
        <v>344382.93532320089</v>
      </c>
      <c r="M429" s="192">
        <v>0</v>
      </c>
      <c r="N429" s="214">
        <v>0</v>
      </c>
      <c r="O429" s="192">
        <v>12611.700467384957</v>
      </c>
      <c r="P429" s="192">
        <v>1092524.7881918412</v>
      </c>
    </row>
    <row r="430" spans="1:16" x14ac:dyDescent="0.25">
      <c r="A430" s="175">
        <v>1</v>
      </c>
      <c r="B430" s="193"/>
      <c r="C430" s="270"/>
      <c r="D430" s="178"/>
      <c r="E430" s="246"/>
      <c r="F430" s="230"/>
      <c r="G430" s="192"/>
      <c r="H430" s="192"/>
      <c r="I430" s="192"/>
      <c r="J430" s="192"/>
      <c r="K430" s="192"/>
      <c r="L430" s="192"/>
      <c r="M430" s="192"/>
      <c r="N430" s="192"/>
      <c r="O430" s="192"/>
      <c r="P430" s="192"/>
    </row>
    <row r="431" spans="1:16" x14ac:dyDescent="0.25">
      <c r="A431" s="175">
        <v>1</v>
      </c>
      <c r="B431" s="193" t="s">
        <v>11</v>
      </c>
      <c r="C431" s="271"/>
      <c r="D431" s="178">
        <v>4781</v>
      </c>
      <c r="E431" s="243">
        <v>29.019699999999997</v>
      </c>
      <c r="F431" s="195">
        <v>29.019699999999997</v>
      </c>
      <c r="G431" s="192">
        <v>1277.33</v>
      </c>
      <c r="H431" s="192">
        <v>0</v>
      </c>
      <c r="I431" s="192">
        <v>0</v>
      </c>
      <c r="J431" s="192">
        <v>98306.880000000005</v>
      </c>
      <c r="K431" s="192">
        <v>43204.47</v>
      </c>
      <c r="L431" s="192">
        <v>94967.69</v>
      </c>
      <c r="M431" s="192">
        <v>0</v>
      </c>
      <c r="N431" s="214">
        <v>0</v>
      </c>
      <c r="O431" s="192">
        <v>1376.41</v>
      </c>
      <c r="P431" s="192">
        <v>239132.78</v>
      </c>
    </row>
    <row r="432" spans="1:16" x14ac:dyDescent="0.25">
      <c r="A432" s="175">
        <v>1</v>
      </c>
      <c r="B432" s="193" t="s">
        <v>11</v>
      </c>
      <c r="C432" s="176"/>
      <c r="D432" s="178">
        <v>4782</v>
      </c>
      <c r="E432" s="623">
        <v>100.80329999999999</v>
      </c>
      <c r="F432" s="196">
        <v>100.80329999999999</v>
      </c>
      <c r="G432" s="197">
        <v>165196.31</v>
      </c>
      <c r="H432" s="197">
        <v>0</v>
      </c>
      <c r="I432" s="197">
        <v>0</v>
      </c>
      <c r="J432" s="197">
        <v>327794.67</v>
      </c>
      <c r="K432" s="197">
        <v>91897.83</v>
      </c>
      <c r="L432" s="197">
        <v>580044.74</v>
      </c>
      <c r="M432" s="197">
        <v>0</v>
      </c>
      <c r="N432" s="197">
        <v>0</v>
      </c>
      <c r="O432" s="197">
        <v>21669.129999999997</v>
      </c>
      <c r="P432" s="197">
        <v>1186602.6799999997</v>
      </c>
    </row>
    <row r="433" spans="1:16" x14ac:dyDescent="0.25">
      <c r="A433" s="175">
        <v>1</v>
      </c>
      <c r="B433" s="193"/>
      <c r="C433" s="193" t="s">
        <v>12</v>
      </c>
      <c r="D433" s="178"/>
      <c r="E433" s="246">
        <v>129.82299999999998</v>
      </c>
      <c r="F433" s="253">
        <v>129.82299999999998</v>
      </c>
      <c r="G433" s="192">
        <v>166473.63999999998</v>
      </c>
      <c r="H433" s="192">
        <v>0</v>
      </c>
      <c r="I433" s="192">
        <v>0</v>
      </c>
      <c r="J433" s="192">
        <v>426101.55</v>
      </c>
      <c r="K433" s="192">
        <v>135102.29999999999</v>
      </c>
      <c r="L433" s="192">
        <v>675012.42999999993</v>
      </c>
      <c r="M433" s="192">
        <v>0</v>
      </c>
      <c r="N433" s="192">
        <v>0</v>
      </c>
      <c r="O433" s="192">
        <v>23045.539999999997</v>
      </c>
      <c r="P433" s="192">
        <v>1425735.4599999997</v>
      </c>
    </row>
    <row r="434" spans="1:16" x14ac:dyDescent="0.25">
      <c r="A434" s="175">
        <v>1</v>
      </c>
      <c r="B434" s="193"/>
      <c r="C434" s="176"/>
      <c r="D434" s="178"/>
      <c r="E434" s="246"/>
      <c r="F434" s="230"/>
      <c r="G434" s="192"/>
      <c r="H434" s="192"/>
      <c r="I434" s="192"/>
      <c r="J434" s="192"/>
      <c r="K434" s="192"/>
      <c r="L434" s="192"/>
      <c r="M434" s="192"/>
      <c r="N434" s="192"/>
      <c r="O434" s="192"/>
      <c r="P434" s="192"/>
    </row>
    <row r="435" spans="1:16" x14ac:dyDescent="0.25">
      <c r="A435" s="175">
        <v>1</v>
      </c>
      <c r="B435" s="193" t="s">
        <v>13</v>
      </c>
      <c r="C435" s="176"/>
      <c r="D435" s="178">
        <v>4750</v>
      </c>
      <c r="E435" s="246">
        <v>44.316899999999997</v>
      </c>
      <c r="F435" s="195">
        <v>1640.72165</v>
      </c>
      <c r="G435" s="192">
        <v>379787.42942773073</v>
      </c>
      <c r="H435" s="192">
        <v>76.933714652288472</v>
      </c>
      <c r="I435" s="192">
        <v>11392.632570463908</v>
      </c>
      <c r="J435" s="192">
        <v>105448.89700153341</v>
      </c>
      <c r="K435" s="192">
        <v>2397428.4821018619</v>
      </c>
      <c r="L435" s="192">
        <v>1355064.0826418055</v>
      </c>
      <c r="M435" s="192">
        <v>0</v>
      </c>
      <c r="N435" s="214">
        <v>0</v>
      </c>
      <c r="O435" s="192">
        <v>49624.010284806071</v>
      </c>
      <c r="P435" s="192">
        <v>4298822.4677428529</v>
      </c>
    </row>
    <row r="436" spans="1:16" x14ac:dyDescent="0.25">
      <c r="A436" s="175">
        <v>1</v>
      </c>
      <c r="B436" s="193"/>
      <c r="C436" s="193"/>
      <c r="D436" s="178"/>
      <c r="E436" s="246"/>
      <c r="F436" s="230"/>
      <c r="G436" s="192"/>
      <c r="H436" s="192"/>
      <c r="I436" s="192"/>
      <c r="J436" s="192"/>
      <c r="K436" s="192"/>
      <c r="L436" s="192"/>
      <c r="M436" s="192"/>
      <c r="N436" s="192"/>
      <c r="O436" s="192"/>
      <c r="P436" s="192"/>
    </row>
    <row r="437" spans="1:16" x14ac:dyDescent="0.25">
      <c r="A437" s="175">
        <v>1</v>
      </c>
      <c r="B437" s="193" t="s">
        <v>14</v>
      </c>
      <c r="C437" s="193"/>
      <c r="D437" s="178">
        <v>4750</v>
      </c>
      <c r="E437" s="243">
        <v>48.335751515151514</v>
      </c>
      <c r="F437" s="195">
        <v>1640.72165</v>
      </c>
      <c r="G437" s="192">
        <v>414228.2248396647</v>
      </c>
      <c r="H437" s="192">
        <v>83.91040245528427</v>
      </c>
      <c r="I437" s="192">
        <v>12425.766626938377</v>
      </c>
      <c r="J437" s="192">
        <v>115011.46702528661</v>
      </c>
      <c r="K437" s="192">
        <v>2614837.8471017261</v>
      </c>
      <c r="L437" s="192">
        <v>1477947.2568180773</v>
      </c>
      <c r="M437" s="192">
        <v>0</v>
      </c>
      <c r="N437" s="214">
        <v>0</v>
      </c>
      <c r="O437" s="192">
        <v>54124.133915316947</v>
      </c>
      <c r="P437" s="192">
        <v>4688658.6067294655</v>
      </c>
    </row>
    <row r="438" spans="1:16" x14ac:dyDescent="0.25">
      <c r="A438" s="175">
        <v>1</v>
      </c>
      <c r="B438" s="193"/>
      <c r="C438" s="193"/>
      <c r="D438" s="178"/>
      <c r="E438" s="243"/>
      <c r="F438" s="230"/>
      <c r="G438" s="192"/>
      <c r="H438" s="192"/>
      <c r="I438" s="192"/>
      <c r="J438" s="192"/>
      <c r="K438" s="192"/>
      <c r="L438" s="192"/>
      <c r="M438" s="192"/>
      <c r="N438" s="192"/>
      <c r="O438" s="192"/>
      <c r="P438" s="192"/>
    </row>
    <row r="439" spans="1:16" x14ac:dyDescent="0.25">
      <c r="A439" s="175">
        <v>1</v>
      </c>
      <c r="B439" s="193" t="s">
        <v>15</v>
      </c>
      <c r="C439" s="193"/>
      <c r="D439" s="178">
        <v>4135</v>
      </c>
      <c r="E439" s="243">
        <v>49.405913636363636</v>
      </c>
      <c r="F439" s="195">
        <v>206.1454</v>
      </c>
      <c r="G439" s="192">
        <v>427516.24875801365</v>
      </c>
      <c r="H439" s="192">
        <v>0</v>
      </c>
      <c r="I439" s="192">
        <v>0</v>
      </c>
      <c r="J439" s="192">
        <v>2204185.9551786748</v>
      </c>
      <c r="K439" s="192">
        <v>576705.80804639333</v>
      </c>
      <c r="L439" s="192">
        <v>1602264.0994952936</v>
      </c>
      <c r="M439" s="192">
        <v>0</v>
      </c>
      <c r="N439" s="214">
        <v>0</v>
      </c>
      <c r="O439" s="192">
        <v>23434.489810271822</v>
      </c>
      <c r="P439" s="192">
        <v>4834106.6012886474</v>
      </c>
    </row>
    <row r="440" spans="1:16" x14ac:dyDescent="0.25">
      <c r="A440" s="175">
        <v>1</v>
      </c>
      <c r="B440" s="193"/>
      <c r="C440" s="193"/>
      <c r="D440" s="178"/>
      <c r="E440" s="246"/>
      <c r="F440" s="230"/>
      <c r="G440" s="192"/>
      <c r="H440" s="192"/>
      <c r="I440" s="192"/>
      <c r="J440" s="192"/>
      <c r="K440" s="192"/>
      <c r="L440" s="192"/>
      <c r="M440" s="192"/>
      <c r="N440" s="192"/>
      <c r="O440" s="192"/>
      <c r="P440" s="192"/>
    </row>
    <row r="441" spans="1:16" x14ac:dyDescent="0.25">
      <c r="A441" s="175">
        <v>1</v>
      </c>
      <c r="B441" s="193" t="s">
        <v>16</v>
      </c>
      <c r="C441" s="193"/>
      <c r="D441" s="178">
        <v>4750</v>
      </c>
      <c r="E441" s="243">
        <v>34.500492424242424</v>
      </c>
      <c r="F441" s="195">
        <v>1640.72165</v>
      </c>
      <c r="G441" s="192">
        <v>295662.6779353685</v>
      </c>
      <c r="H441" s="192">
        <v>59.892524962939802</v>
      </c>
      <c r="I441" s="192">
        <v>8869.1093846696767</v>
      </c>
      <c r="J441" s="192">
        <v>82091.45658081054</v>
      </c>
      <c r="K441" s="192">
        <v>1866386.4842626248</v>
      </c>
      <c r="L441" s="192">
        <v>1054910.8380222134</v>
      </c>
      <c r="M441" s="192">
        <v>0</v>
      </c>
      <c r="N441" s="214">
        <v>0</v>
      </c>
      <c r="O441" s="192">
        <v>38632.052126648756</v>
      </c>
      <c r="P441" s="192">
        <v>3346612.5108372988</v>
      </c>
    </row>
    <row r="442" spans="1:16" x14ac:dyDescent="0.25">
      <c r="A442" s="175">
        <v>1</v>
      </c>
      <c r="B442" s="193"/>
      <c r="C442" s="193"/>
      <c r="D442" s="198"/>
      <c r="E442" s="246"/>
      <c r="F442" s="230"/>
      <c r="G442" s="248"/>
      <c r="H442" s="248"/>
      <c r="I442" s="248"/>
      <c r="J442" s="248"/>
      <c r="K442" s="248"/>
      <c r="L442" s="248"/>
      <c r="M442" s="248"/>
      <c r="N442" s="248"/>
      <c r="O442" s="248"/>
      <c r="P442" s="248"/>
    </row>
    <row r="443" spans="1:16" x14ac:dyDescent="0.25">
      <c r="A443" s="175">
        <v>1</v>
      </c>
      <c r="B443" s="193" t="s">
        <v>17</v>
      </c>
      <c r="C443" s="193"/>
      <c r="D443" s="198">
        <v>4750</v>
      </c>
      <c r="E443" s="246">
        <v>31.945699999999999</v>
      </c>
      <c r="F443" s="195">
        <v>1640.72165</v>
      </c>
      <c r="G443" s="248">
        <v>273768.59131097753</v>
      </c>
      <c r="H443" s="248">
        <v>55.457429742775602</v>
      </c>
      <c r="I443" s="248">
        <v>8212.3438757284202</v>
      </c>
      <c r="J443" s="248">
        <v>76012.510553352913</v>
      </c>
      <c r="K443" s="248">
        <v>1728178.8902355866</v>
      </c>
      <c r="L443" s="248">
        <v>976793.74380541802</v>
      </c>
      <c r="M443" s="248">
        <v>0</v>
      </c>
      <c r="N443" s="233">
        <v>0</v>
      </c>
      <c r="O443" s="248">
        <v>35771.313998843092</v>
      </c>
      <c r="P443" s="248">
        <v>3098792.8512096494</v>
      </c>
    </row>
    <row r="444" spans="1:16" x14ac:dyDescent="0.25">
      <c r="A444" s="175">
        <v>1</v>
      </c>
      <c r="B444" s="193"/>
      <c r="C444" s="193"/>
      <c r="D444" s="198"/>
      <c r="E444" s="246"/>
      <c r="F444" s="230"/>
      <c r="G444" s="248"/>
      <c r="H444" s="248"/>
      <c r="I444" s="248"/>
      <c r="J444" s="248"/>
      <c r="K444" s="248"/>
      <c r="L444" s="248"/>
      <c r="M444" s="248"/>
      <c r="N444" s="248"/>
      <c r="O444" s="248"/>
      <c r="P444" s="248"/>
    </row>
    <row r="445" spans="1:16" x14ac:dyDescent="0.25">
      <c r="A445" s="175">
        <v>1</v>
      </c>
      <c r="B445" s="193" t="s">
        <v>18</v>
      </c>
      <c r="C445" s="193"/>
      <c r="D445" s="198">
        <v>4750</v>
      </c>
      <c r="E445" s="246">
        <v>34.495699999999999</v>
      </c>
      <c r="F445" s="195">
        <v>1640.72165</v>
      </c>
      <c r="G445" s="248">
        <v>295621.60776837217</v>
      </c>
      <c r="H445" s="248">
        <v>59.884205360278983</v>
      </c>
      <c r="I445" s="248">
        <v>8867.8773867520467</v>
      </c>
      <c r="J445" s="248">
        <v>82080.053349755879</v>
      </c>
      <c r="K445" s="248">
        <v>1866127.2266345618</v>
      </c>
      <c r="L445" s="248">
        <v>1054764.3015550938</v>
      </c>
      <c r="M445" s="248">
        <v>0</v>
      </c>
      <c r="N445" s="233">
        <v>0</v>
      </c>
      <c r="O445" s="248">
        <v>38626.685792137643</v>
      </c>
      <c r="P445" s="248">
        <v>3346147.6366920336</v>
      </c>
    </row>
    <row r="446" spans="1:16" x14ac:dyDescent="0.25">
      <c r="A446" s="175">
        <v>1</v>
      </c>
      <c r="B446" s="193" t="s">
        <v>18</v>
      </c>
      <c r="C446" s="193"/>
      <c r="D446" s="198">
        <v>4750</v>
      </c>
      <c r="E446" s="618">
        <v>0.12</v>
      </c>
      <c r="F446" s="602">
        <v>13.915699999999999</v>
      </c>
      <c r="G446" s="581">
        <v>1028.3772450538845</v>
      </c>
      <c r="H446" s="581">
        <v>0.20831885258839805</v>
      </c>
      <c r="I446" s="581">
        <v>30.848635812877095</v>
      </c>
      <c r="J446" s="581">
        <v>0</v>
      </c>
      <c r="K446" s="581">
        <v>0</v>
      </c>
      <c r="L446" s="581">
        <v>0</v>
      </c>
      <c r="M446" s="581">
        <v>25260.067693324811</v>
      </c>
      <c r="N446" s="581">
        <v>114747.5438533455</v>
      </c>
      <c r="O446" s="581">
        <v>134.37043733151083</v>
      </c>
      <c r="P446" s="248">
        <v>141201.41618372116</v>
      </c>
    </row>
    <row r="447" spans="1:16" x14ac:dyDescent="0.25">
      <c r="A447" s="175">
        <v>1</v>
      </c>
      <c r="B447" s="193"/>
      <c r="C447" s="193" t="s">
        <v>1742</v>
      </c>
      <c r="D447" s="198"/>
      <c r="E447" s="246">
        <v>34.615699999999997</v>
      </c>
      <c r="F447" s="253">
        <v>1654.63735</v>
      </c>
      <c r="G447" s="248">
        <v>296649.98501342605</v>
      </c>
      <c r="H447" s="248">
        <v>60.092524212867382</v>
      </c>
      <c r="I447" s="248">
        <v>8898.7260225649243</v>
      </c>
      <c r="J447" s="248">
        <v>82080.053349755879</v>
      </c>
      <c r="K447" s="248">
        <v>1866127.2266345618</v>
      </c>
      <c r="L447" s="248">
        <v>1054764.3015550938</v>
      </c>
      <c r="M447" s="248">
        <v>25260.067693324811</v>
      </c>
      <c r="N447" s="248">
        <v>114747.5438533455</v>
      </c>
      <c r="O447" s="248">
        <v>38761.056229469155</v>
      </c>
      <c r="P447" s="248">
        <v>3487349.0528757549</v>
      </c>
    </row>
    <row r="448" spans="1:16" x14ac:dyDescent="0.25">
      <c r="A448" s="175">
        <v>1</v>
      </c>
      <c r="B448" s="193"/>
      <c r="C448" s="193"/>
      <c r="D448" s="198"/>
      <c r="E448" s="246"/>
      <c r="F448" s="253"/>
      <c r="G448" s="248"/>
      <c r="H448" s="248"/>
      <c r="I448" s="248"/>
      <c r="J448" s="248"/>
      <c r="K448" s="248"/>
      <c r="L448" s="248"/>
      <c r="M448" s="248"/>
      <c r="N448" s="248"/>
      <c r="O448" s="248"/>
      <c r="P448" s="248"/>
    </row>
    <row r="449" spans="1:16" x14ac:dyDescent="0.25">
      <c r="A449" s="175">
        <v>1</v>
      </c>
      <c r="B449" s="193"/>
      <c r="C449" s="193"/>
      <c r="D449" s="198"/>
      <c r="E449" s="269"/>
      <c r="F449" s="273"/>
      <c r="G449" s="582"/>
      <c r="H449" s="582"/>
      <c r="I449" s="582"/>
      <c r="J449" s="582"/>
      <c r="K449" s="582"/>
      <c r="L449" s="582"/>
      <c r="M449" s="582"/>
      <c r="N449" s="582"/>
      <c r="O449" s="582"/>
      <c r="P449" s="582"/>
    </row>
    <row r="450" spans="1:16" ht="15.75" thickBot="1" x14ac:dyDescent="0.3">
      <c r="A450" s="175">
        <v>1</v>
      </c>
      <c r="B450" s="238"/>
      <c r="C450" s="202" t="s">
        <v>19</v>
      </c>
      <c r="D450" s="256"/>
      <c r="E450" s="239">
        <v>638.27863030303024</v>
      </c>
      <c r="F450" s="241">
        <v>15116.378949999998</v>
      </c>
      <c r="G450" s="654">
        <v>4527958.9134948859</v>
      </c>
      <c r="H450" s="654">
        <v>796.905918808563</v>
      </c>
      <c r="I450" s="654">
        <v>118008.81274545139</v>
      </c>
      <c r="J450" s="267">
        <v>3722277.9743614523</v>
      </c>
      <c r="K450" s="267">
        <v>25538706.515191399</v>
      </c>
      <c r="L450" s="267">
        <v>16309827.892789667</v>
      </c>
      <c r="M450" s="267">
        <v>25260.067693324811</v>
      </c>
      <c r="N450" s="267">
        <v>114747.5438533455</v>
      </c>
      <c r="O450" s="267">
        <v>560502.62302198075</v>
      </c>
      <c r="P450" s="267">
        <v>50918087.249070317</v>
      </c>
    </row>
    <row r="451" spans="1:16" ht="15.75" thickTop="1" x14ac:dyDescent="0.25">
      <c r="A451" s="175">
        <v>1</v>
      </c>
      <c r="B451" s="238"/>
      <c r="C451" s="202"/>
      <c r="D451" s="256"/>
      <c r="E451" s="274"/>
      <c r="F451" s="275"/>
      <c r="G451" s="274"/>
      <c r="H451" s="274"/>
      <c r="I451" s="274"/>
      <c r="J451" s="274"/>
      <c r="K451" s="274"/>
      <c r="L451" s="274"/>
      <c r="M451" s="274"/>
      <c r="N451" s="274"/>
      <c r="O451" s="274"/>
      <c r="P451" s="276"/>
    </row>
    <row r="452" spans="1:16" x14ac:dyDescent="0.25">
      <c r="A452" s="175">
        <v>1</v>
      </c>
      <c r="B452" s="238"/>
      <c r="C452" s="176" t="s">
        <v>1743</v>
      </c>
      <c r="D452" s="256"/>
      <c r="E452" s="274"/>
      <c r="F452" s="275"/>
      <c r="G452" s="274"/>
      <c r="H452" s="274"/>
      <c r="I452" s="274"/>
      <c r="J452" s="274"/>
      <c r="K452" s="274"/>
      <c r="L452" s="274"/>
      <c r="M452" s="274"/>
      <c r="N452" s="274"/>
      <c r="O452" s="274"/>
      <c r="P452" s="276"/>
    </row>
    <row r="453" spans="1:16" x14ac:dyDescent="0.25">
      <c r="A453" s="175">
        <v>1</v>
      </c>
      <c r="B453" s="238"/>
      <c r="C453" s="202"/>
      <c r="D453" s="256"/>
      <c r="E453" s="274"/>
      <c r="F453" s="275"/>
      <c r="G453" s="274"/>
      <c r="H453" s="274"/>
      <c r="I453" s="274"/>
      <c r="J453" s="274"/>
      <c r="K453" s="274"/>
      <c r="L453" s="274"/>
      <c r="M453" s="274"/>
      <c r="N453" s="274"/>
      <c r="O453" s="274"/>
      <c r="P453" s="276"/>
    </row>
    <row r="454" spans="1:16" x14ac:dyDescent="0.25">
      <c r="A454" s="217">
        <v>1</v>
      </c>
      <c r="B454" s="217" t="s">
        <v>1744</v>
      </c>
      <c r="C454" s="217"/>
      <c r="D454" s="198">
        <v>4105</v>
      </c>
      <c r="E454" s="243">
        <v>16.646000000000001</v>
      </c>
      <c r="F454" s="195">
        <v>2.3711000000000002</v>
      </c>
      <c r="G454" s="248">
        <v>107031.06507284204</v>
      </c>
      <c r="H454" s="248">
        <v>3768.7328779100922</v>
      </c>
      <c r="I454" s="248">
        <v>3584.0272567856755</v>
      </c>
      <c r="J454" s="248">
        <v>65249.757997968649</v>
      </c>
      <c r="K454" s="248">
        <v>1312135.5749807584</v>
      </c>
      <c r="L454" s="248">
        <v>531150.53369089472</v>
      </c>
      <c r="M454" s="248">
        <v>0</v>
      </c>
      <c r="N454" s="233">
        <v>0</v>
      </c>
      <c r="O454" s="248">
        <v>5127.8753036791741</v>
      </c>
      <c r="P454" s="248">
        <v>2028047.5671808387</v>
      </c>
    </row>
    <row r="455" spans="1:16" x14ac:dyDescent="0.25">
      <c r="A455" s="217">
        <v>1</v>
      </c>
      <c r="B455" s="238"/>
      <c r="C455" s="202"/>
      <c r="D455" s="256"/>
      <c r="E455" s="274"/>
      <c r="F455" s="275"/>
      <c r="G455" s="274"/>
      <c r="H455" s="274"/>
      <c r="I455" s="274"/>
      <c r="J455" s="274"/>
      <c r="K455" s="274"/>
      <c r="L455" s="274"/>
      <c r="M455" s="274"/>
      <c r="N455" s="274"/>
      <c r="O455" s="274"/>
      <c r="P455" s="276"/>
    </row>
    <row r="456" spans="1:16" x14ac:dyDescent="0.25">
      <c r="A456" s="217">
        <v>1</v>
      </c>
      <c r="B456" s="217" t="s">
        <v>41</v>
      </c>
      <c r="C456" s="217"/>
      <c r="D456" s="198">
        <v>4105</v>
      </c>
      <c r="E456" s="261">
        <v>16.561878787878783</v>
      </c>
      <c r="F456" s="195">
        <v>2.3711000000000002</v>
      </c>
      <c r="G456" s="248">
        <v>106490.17939889319</v>
      </c>
      <c r="H456" s="248">
        <v>3749.6874388946594</v>
      </c>
      <c r="I456" s="248">
        <v>3565.9152348514995</v>
      </c>
      <c r="J456" s="248">
        <v>64920.015793630955</v>
      </c>
      <c r="K456" s="248">
        <v>1305504.6465273909</v>
      </c>
      <c r="L456" s="248">
        <v>528466.34369252215</v>
      </c>
      <c r="M456" s="248">
        <v>0</v>
      </c>
      <c r="N456" s="233">
        <v>0</v>
      </c>
      <c r="O456" s="248">
        <v>5101.9613852512057</v>
      </c>
      <c r="P456" s="248">
        <v>2017798.7494714346</v>
      </c>
    </row>
    <row r="457" spans="1:16" x14ac:dyDescent="0.25">
      <c r="A457" s="217"/>
      <c r="B457" s="217"/>
      <c r="C457" s="217"/>
      <c r="D457" s="198"/>
      <c r="E457" s="261"/>
      <c r="F457" s="195"/>
      <c r="G457" s="248"/>
      <c r="H457" s="248"/>
      <c r="I457" s="248"/>
      <c r="J457" s="248"/>
      <c r="K457" s="248"/>
      <c r="L457" s="248"/>
      <c r="M457" s="248"/>
      <c r="N457" s="233"/>
      <c r="O457" s="248"/>
      <c r="P457" s="248"/>
    </row>
    <row r="458" spans="1:16" ht="15.75" thickBot="1" x14ac:dyDescent="0.3">
      <c r="A458" s="217"/>
      <c r="B458" s="217"/>
      <c r="C458" s="202" t="s">
        <v>1745</v>
      </c>
      <c r="D458" s="198"/>
      <c r="E458" s="277">
        <v>33.207878787878784</v>
      </c>
      <c r="F458" s="278">
        <v>4.7422000000000004</v>
      </c>
      <c r="G458" s="655">
        <v>213521.24447173523</v>
      </c>
      <c r="H458" s="655">
        <v>7518.4203168047516</v>
      </c>
      <c r="I458" s="655">
        <v>7149.9424916371754</v>
      </c>
      <c r="J458" s="655">
        <v>130169.77379159961</v>
      </c>
      <c r="K458" s="655">
        <v>2617640.2215081491</v>
      </c>
      <c r="L458" s="655">
        <v>1059616.877383417</v>
      </c>
      <c r="M458" s="655">
        <v>0</v>
      </c>
      <c r="N458" s="655">
        <v>0</v>
      </c>
      <c r="O458" s="655">
        <v>10229.83668893038</v>
      </c>
      <c r="P458" s="279">
        <v>4045846.3166522733</v>
      </c>
    </row>
    <row r="459" spans="1:16" ht="15.75" thickTop="1" x14ac:dyDescent="0.25">
      <c r="A459" s="217"/>
      <c r="B459" s="217"/>
      <c r="C459" s="217"/>
      <c r="D459" s="198"/>
      <c r="E459" s="261"/>
      <c r="F459" s="195"/>
      <c r="G459" s="248"/>
      <c r="H459" s="248"/>
      <c r="I459" s="248"/>
      <c r="J459" s="248"/>
      <c r="K459" s="248"/>
      <c r="L459" s="248"/>
      <c r="M459" s="248"/>
      <c r="N459" s="233"/>
      <c r="O459" s="248"/>
      <c r="P459" s="248"/>
    </row>
    <row r="460" spans="1:16" x14ac:dyDescent="0.25">
      <c r="A460" s="175">
        <v>1</v>
      </c>
      <c r="B460" s="238"/>
      <c r="C460" s="202"/>
      <c r="D460" s="256"/>
      <c r="E460" s="274"/>
      <c r="F460" s="275"/>
      <c r="G460" s="274"/>
      <c r="H460" s="274"/>
      <c r="I460" s="274"/>
      <c r="J460" s="274"/>
      <c r="K460" s="274"/>
      <c r="L460" s="274"/>
      <c r="M460" s="274"/>
      <c r="N460" s="274"/>
      <c r="O460" s="274"/>
      <c r="P460" s="276"/>
    </row>
    <row r="461" spans="1:16" x14ac:dyDescent="0.25">
      <c r="A461" s="175">
        <v>1</v>
      </c>
      <c r="B461" s="217"/>
      <c r="C461" s="176" t="s">
        <v>20</v>
      </c>
      <c r="D461" s="583"/>
      <c r="E461" s="243"/>
      <c r="F461" s="221"/>
      <c r="G461" s="584"/>
      <c r="H461" s="584"/>
      <c r="I461" s="584"/>
      <c r="J461" s="584"/>
      <c r="K461" s="584"/>
      <c r="L461" s="584"/>
      <c r="M461" s="584"/>
      <c r="N461" s="584"/>
      <c r="O461" s="584"/>
      <c r="P461" s="584"/>
    </row>
    <row r="462" spans="1:16" x14ac:dyDescent="0.25">
      <c r="A462" s="175">
        <v>1</v>
      </c>
      <c r="B462" s="217" t="s">
        <v>21</v>
      </c>
      <c r="C462" s="217"/>
      <c r="D462" s="583">
        <v>4705</v>
      </c>
      <c r="E462" s="261">
        <v>16.575193939393937</v>
      </c>
      <c r="F462" s="195">
        <v>105.29199999999999</v>
      </c>
      <c r="G462" s="248">
        <v>38207.632383468917</v>
      </c>
      <c r="H462" s="248">
        <v>517.71639070343122</v>
      </c>
      <c r="I462" s="248">
        <v>0</v>
      </c>
      <c r="J462" s="248">
        <v>0</v>
      </c>
      <c r="K462" s="248">
        <v>471116.52545044658</v>
      </c>
      <c r="L462" s="248">
        <v>209243.77042059888</v>
      </c>
      <c r="M462" s="248">
        <v>0</v>
      </c>
      <c r="N462" s="233">
        <v>0</v>
      </c>
      <c r="O462" s="248">
        <v>5631.6923114553183</v>
      </c>
      <c r="P462" s="248">
        <v>724717.33695667307</v>
      </c>
    </row>
    <row r="463" spans="1:16" x14ac:dyDescent="0.25">
      <c r="A463" s="175">
        <v>1</v>
      </c>
      <c r="B463" s="217"/>
      <c r="C463" s="217"/>
      <c r="D463" s="583"/>
      <c r="E463" s="260"/>
      <c r="F463" s="221"/>
      <c r="G463" s="584"/>
      <c r="H463" s="584"/>
      <c r="I463" s="584"/>
      <c r="J463" s="584"/>
      <c r="K463" s="584"/>
      <c r="L463" s="584"/>
      <c r="M463" s="584"/>
      <c r="N463" s="584"/>
      <c r="O463" s="584"/>
      <c r="P463" s="584"/>
    </row>
    <row r="464" spans="1:16" x14ac:dyDescent="0.25">
      <c r="A464" s="175">
        <v>1</v>
      </c>
      <c r="B464" s="217" t="s">
        <v>22</v>
      </c>
      <c r="C464" s="217"/>
      <c r="D464" s="583">
        <v>4705</v>
      </c>
      <c r="E464" s="261">
        <v>24.347303030303035</v>
      </c>
      <c r="F464" s="195">
        <v>105.29199999999999</v>
      </c>
      <c r="G464" s="248">
        <v>56123.192712685166</v>
      </c>
      <c r="H464" s="248">
        <v>760.4736266918211</v>
      </c>
      <c r="I464" s="248">
        <v>0</v>
      </c>
      <c r="J464" s="248">
        <v>0</v>
      </c>
      <c r="K464" s="248">
        <v>692023.08278662025</v>
      </c>
      <c r="L464" s="248">
        <v>307358.18261078867</v>
      </c>
      <c r="M464" s="248">
        <v>0</v>
      </c>
      <c r="N464" s="233">
        <v>0</v>
      </c>
      <c r="O464" s="248">
        <v>8272.3930580714496</v>
      </c>
      <c r="P464" s="248">
        <v>1064537.3247948573</v>
      </c>
    </row>
    <row r="465" spans="1:16" x14ac:dyDescent="0.25">
      <c r="A465" s="175">
        <v>1</v>
      </c>
      <c r="B465" s="217"/>
      <c r="C465" s="217"/>
      <c r="D465" s="583"/>
      <c r="E465" s="280"/>
      <c r="F465" s="221"/>
      <c r="G465" s="585"/>
      <c r="H465" s="585"/>
      <c r="I465" s="585"/>
      <c r="J465" s="585"/>
      <c r="K465" s="585"/>
      <c r="L465" s="585"/>
      <c r="M465" s="585"/>
      <c r="N465" s="585"/>
      <c r="O465" s="585"/>
      <c r="P465" s="233"/>
    </row>
    <row r="466" spans="1:16" ht="15.75" thickBot="1" x14ac:dyDescent="0.3">
      <c r="A466" s="175">
        <v>1</v>
      </c>
      <c r="B466" s="281"/>
      <c r="C466" s="202" t="s">
        <v>23</v>
      </c>
      <c r="D466" s="586"/>
      <c r="E466" s="277">
        <v>40.922496969696972</v>
      </c>
      <c r="F466" s="278">
        <v>210.58399999999997</v>
      </c>
      <c r="G466" s="279">
        <v>94330.825096154091</v>
      </c>
      <c r="H466" s="279">
        <v>1278.1900173952522</v>
      </c>
      <c r="I466" s="279">
        <v>0</v>
      </c>
      <c r="J466" s="278">
        <v>0</v>
      </c>
      <c r="K466" s="279">
        <v>1163139.6082370668</v>
      </c>
      <c r="L466" s="279">
        <v>516601.95303138753</v>
      </c>
      <c r="M466" s="279">
        <v>0</v>
      </c>
      <c r="N466" s="279">
        <v>0</v>
      </c>
      <c r="O466" s="279">
        <v>13904.085369526769</v>
      </c>
      <c r="P466" s="279">
        <v>1789254.6617515304</v>
      </c>
    </row>
    <row r="467" spans="1:16" ht="15.75" thickTop="1" x14ac:dyDescent="0.25">
      <c r="A467" s="175">
        <v>1</v>
      </c>
      <c r="B467" s="217"/>
      <c r="C467" s="268"/>
      <c r="D467" s="583"/>
      <c r="E467" s="243"/>
      <c r="F467" s="221"/>
      <c r="G467" s="587"/>
      <c r="H467" s="587"/>
      <c r="I467" s="587"/>
      <c r="J467" s="587"/>
      <c r="K467" s="587"/>
      <c r="L467" s="587"/>
      <c r="M467" s="587"/>
      <c r="N467" s="587"/>
      <c r="O467" s="587"/>
      <c r="P467" s="248"/>
    </row>
    <row r="468" spans="1:16" ht="15.75" thickBot="1" x14ac:dyDescent="0.3">
      <c r="A468" s="175">
        <v>1</v>
      </c>
      <c r="B468" s="281"/>
      <c r="C468" s="282" t="s">
        <v>24</v>
      </c>
      <c r="D468" s="586"/>
      <c r="E468" s="277">
        <v>5896.5162060606044</v>
      </c>
      <c r="F468" s="278">
        <v>43913.122550000029</v>
      </c>
      <c r="G468" s="655">
        <v>119157041.91844699</v>
      </c>
      <c r="H468" s="655">
        <v>6724797.4979824079</v>
      </c>
      <c r="I468" s="655">
        <v>923799.89422215451</v>
      </c>
      <c r="J468" s="655">
        <v>548483028.92876339</v>
      </c>
      <c r="K468" s="655">
        <v>92376309.623792216</v>
      </c>
      <c r="L468" s="655">
        <v>405779525.52617592</v>
      </c>
      <c r="M468" s="655">
        <v>207657.92635818076</v>
      </c>
      <c r="N468" s="655">
        <v>1983395.9738533455</v>
      </c>
      <c r="O468" s="655">
        <v>110156009.43604594</v>
      </c>
      <c r="P468" s="279">
        <v>1285791566.7256403</v>
      </c>
    </row>
    <row r="469" spans="1:16" ht="15.75" thickTop="1" x14ac:dyDescent="0.25">
      <c r="A469" s="175">
        <v>1</v>
      </c>
      <c r="B469" s="217"/>
      <c r="C469" s="283"/>
      <c r="D469" s="583"/>
      <c r="E469" s="280"/>
      <c r="F469" s="221"/>
      <c r="G469" s="588"/>
      <c r="H469" s="588"/>
      <c r="I469" s="588"/>
      <c r="J469" s="588"/>
      <c r="K469" s="588"/>
      <c r="L469" s="588"/>
      <c r="M469" s="588"/>
      <c r="N469" s="588"/>
      <c r="O469" s="588"/>
      <c r="P469" s="588"/>
    </row>
    <row r="470" spans="1:16" x14ac:dyDescent="0.25">
      <c r="A470" s="175">
        <v>1</v>
      </c>
      <c r="B470" s="235" t="s">
        <v>72</v>
      </c>
      <c r="C470" s="283"/>
      <c r="D470" s="583"/>
      <c r="E470" s="280"/>
      <c r="F470" s="221"/>
      <c r="G470" s="588"/>
      <c r="H470" s="588"/>
      <c r="I470" s="588"/>
      <c r="J470" s="588"/>
      <c r="K470" s="588"/>
      <c r="L470" s="588"/>
      <c r="M470" s="588"/>
      <c r="N470" s="588"/>
      <c r="O470" s="588"/>
      <c r="P470" s="588"/>
    </row>
    <row r="471" spans="1:16" x14ac:dyDescent="0.25">
      <c r="A471" s="175">
        <v>1</v>
      </c>
      <c r="B471" s="217"/>
      <c r="C471" s="283"/>
      <c r="D471" s="583"/>
      <c r="E471" s="284"/>
      <c r="F471" s="221"/>
      <c r="G471" s="588"/>
      <c r="H471" s="588"/>
      <c r="I471" s="588"/>
      <c r="J471" s="588"/>
      <c r="K471" s="588"/>
      <c r="L471" s="588"/>
      <c r="M471" s="588"/>
      <c r="N471" s="588"/>
      <c r="O471" s="588"/>
      <c r="P471" s="588"/>
    </row>
    <row r="472" spans="1:16" ht="15.75" hidden="1" outlineLevel="1" x14ac:dyDescent="0.25">
      <c r="A472" s="175">
        <v>1</v>
      </c>
      <c r="B472" s="604" t="s">
        <v>25</v>
      </c>
      <c r="C472" s="589"/>
      <c r="D472" s="605"/>
      <c r="E472" s="609"/>
      <c r="F472" s="607"/>
      <c r="G472" s="610"/>
      <c r="H472" s="610"/>
      <c r="I472" s="610"/>
      <c r="J472" s="610"/>
      <c r="K472" s="610"/>
      <c r="L472" s="610"/>
      <c r="M472" s="610"/>
      <c r="N472" s="610"/>
      <c r="O472" s="286"/>
      <c r="P472" s="286"/>
    </row>
    <row r="473" spans="1:16" hidden="1" outlineLevel="1" x14ac:dyDescent="0.25">
      <c r="A473" s="175">
        <v>1</v>
      </c>
      <c r="B473" s="217"/>
      <c r="C473" s="217"/>
      <c r="D473" s="583"/>
      <c r="E473" s="284"/>
      <c r="F473" s="221"/>
      <c r="G473" s="286"/>
      <c r="H473" s="286"/>
      <c r="I473" s="286"/>
      <c r="J473" s="286"/>
      <c r="K473" s="286"/>
      <c r="L473" s="286"/>
      <c r="M473" s="286"/>
      <c r="N473" s="286"/>
      <c r="O473" s="286"/>
      <c r="P473" s="286"/>
    </row>
    <row r="474" spans="1:16" hidden="1" outlineLevel="1" x14ac:dyDescent="0.25">
      <c r="A474" s="175">
        <v>1</v>
      </c>
      <c r="B474" s="193" t="s">
        <v>26</v>
      </c>
      <c r="C474" s="176"/>
      <c r="D474" s="198">
        <v>4750</v>
      </c>
      <c r="E474" s="228">
        <v>2.67</v>
      </c>
      <c r="F474" s="601">
        <v>13.915699999999999</v>
      </c>
      <c r="G474" s="248">
        <v>22881.393702448931</v>
      </c>
      <c r="H474" s="248">
        <v>4.6350944700918566</v>
      </c>
      <c r="I474" s="248">
        <v>686.3821468365154</v>
      </c>
      <c r="J474" s="248">
        <v>0</v>
      </c>
      <c r="K474" s="248">
        <v>0</v>
      </c>
      <c r="L474" s="248">
        <v>0</v>
      </c>
      <c r="M474" s="248">
        <v>562036.50617647695</v>
      </c>
      <c r="N474" s="248">
        <v>2553132.850736938</v>
      </c>
      <c r="O474" s="248">
        <v>2989.7422306261165</v>
      </c>
      <c r="P474" s="248">
        <v>3141731.510087797</v>
      </c>
    </row>
    <row r="475" spans="1:16" hidden="1" outlineLevel="1" x14ac:dyDescent="0.25">
      <c r="A475" s="175">
        <v>1</v>
      </c>
      <c r="B475" s="193"/>
      <c r="C475" s="176"/>
      <c r="D475" s="198"/>
      <c r="E475" s="228"/>
      <c r="F475" s="230"/>
      <c r="G475" s="248"/>
      <c r="H475" s="248"/>
      <c r="I475" s="248"/>
      <c r="J475" s="248"/>
      <c r="K475" s="248"/>
      <c r="L475" s="248"/>
      <c r="M475" s="248"/>
      <c r="N475" s="248"/>
      <c r="O475" s="248"/>
      <c r="P475" s="248"/>
    </row>
    <row r="476" spans="1:16" hidden="1" outlineLevel="1" x14ac:dyDescent="0.25">
      <c r="A476" s="175">
        <v>1</v>
      </c>
      <c r="B476" s="193" t="s">
        <v>27</v>
      </c>
      <c r="C476" s="176"/>
      <c r="D476" s="198">
        <v>4750</v>
      </c>
      <c r="E476" s="228">
        <v>3.9792000000000001</v>
      </c>
      <c r="F476" s="601">
        <v>1640.72165</v>
      </c>
      <c r="G476" s="248">
        <v>34100.989445986212</v>
      </c>
      <c r="H476" s="248">
        <v>6.9078531518311594</v>
      </c>
      <c r="I476" s="248">
        <v>1022.9407635549867</v>
      </c>
      <c r="J476" s="248">
        <v>9468.2220766457449</v>
      </c>
      <c r="K476" s="248">
        <v>215264.32164658923</v>
      </c>
      <c r="L476" s="248">
        <v>121670.76211667046</v>
      </c>
      <c r="M476" s="248">
        <v>0</v>
      </c>
      <c r="N476" s="233">
        <v>0</v>
      </c>
      <c r="O476" s="248">
        <v>4455.7237019128224</v>
      </c>
      <c r="P476" s="248">
        <v>385989.86760451132</v>
      </c>
    </row>
    <row r="477" spans="1:16" hidden="1" outlineLevel="1" x14ac:dyDescent="0.25">
      <c r="A477" s="175">
        <v>1</v>
      </c>
      <c r="B477" s="193" t="s">
        <v>27</v>
      </c>
      <c r="C477" s="176"/>
      <c r="D477" s="198">
        <v>4750</v>
      </c>
      <c r="E477" s="252">
        <v>2.6415999999999999</v>
      </c>
      <c r="F477" s="602">
        <v>13.915699999999999</v>
      </c>
      <c r="G477" s="581">
        <v>22638.011087786181</v>
      </c>
      <c r="H477" s="581">
        <v>4.5857923416459361</v>
      </c>
      <c r="I477" s="581">
        <v>679.08130302746781</v>
      </c>
      <c r="J477" s="581">
        <v>0</v>
      </c>
      <c r="K477" s="581">
        <v>0</v>
      </c>
      <c r="L477" s="581">
        <v>0</v>
      </c>
      <c r="M477" s="581">
        <v>556058.29015572346</v>
      </c>
      <c r="N477" s="581">
        <v>2525975.9320249795</v>
      </c>
      <c r="O477" s="581">
        <v>2957.9412271243255</v>
      </c>
      <c r="P477" s="581">
        <v>3108313.8415909829</v>
      </c>
    </row>
    <row r="478" spans="1:16" hidden="1" outlineLevel="1" x14ac:dyDescent="0.25">
      <c r="A478" s="175">
        <v>1</v>
      </c>
      <c r="B478" s="193"/>
      <c r="C478" s="193" t="s">
        <v>28</v>
      </c>
      <c r="D478" s="198"/>
      <c r="E478" s="255">
        <v>6.6208</v>
      </c>
      <c r="F478" s="253">
        <v>1654.63735</v>
      </c>
      <c r="G478" s="248">
        <v>56739.000533772392</v>
      </c>
      <c r="H478" s="248">
        <v>11.493645493477096</v>
      </c>
      <c r="I478" s="248">
        <v>1702.0220665824545</v>
      </c>
      <c r="J478" s="248">
        <v>9468.2220766457449</v>
      </c>
      <c r="K478" s="248">
        <v>215264.32164658923</v>
      </c>
      <c r="L478" s="248">
        <v>121670.76211667046</v>
      </c>
      <c r="M478" s="248">
        <v>556058.29015572346</v>
      </c>
      <c r="N478" s="248">
        <v>2525975.9320249795</v>
      </c>
      <c r="O478" s="248">
        <v>7413.6649290371479</v>
      </c>
      <c r="P478" s="248">
        <v>3494303.7091954942</v>
      </c>
    </row>
    <row r="479" spans="1:16" hidden="1" outlineLevel="1" x14ac:dyDescent="0.25">
      <c r="A479" s="175">
        <v>1</v>
      </c>
      <c r="B479" s="235"/>
      <c r="C479" s="590"/>
      <c r="D479" s="583"/>
      <c r="E479" s="284"/>
      <c r="F479" s="607"/>
      <c r="G479" s="610"/>
      <c r="H479" s="286"/>
      <c r="I479" s="286"/>
      <c r="J479" s="286"/>
      <c r="K479" s="286"/>
      <c r="L479" s="286"/>
      <c r="M479" s="286"/>
      <c r="N479" s="286"/>
      <c r="O479" s="286"/>
      <c r="P479" s="286"/>
    </row>
    <row r="480" spans="1:16" hidden="1" outlineLevel="1" x14ac:dyDescent="0.25">
      <c r="A480" s="175">
        <v>1</v>
      </c>
      <c r="B480" s="193" t="s">
        <v>29</v>
      </c>
      <c r="C480" s="176"/>
      <c r="D480" s="198">
        <v>4750</v>
      </c>
      <c r="E480" s="228">
        <v>7.9301999999999992</v>
      </c>
      <c r="F480" s="601">
        <v>1640.72165</v>
      </c>
      <c r="G480" s="248">
        <v>67960.310239384751</v>
      </c>
      <c r="H480" s="248">
        <v>13.766751373304045</v>
      </c>
      <c r="I480" s="248">
        <v>2038.6320976939471</v>
      </c>
      <c r="J480" s="248">
        <v>18869.344268248911</v>
      </c>
      <c r="K480" s="248">
        <v>429003.09698476625</v>
      </c>
      <c r="L480" s="248">
        <v>242479.26159469743</v>
      </c>
      <c r="M480" s="248">
        <v>0</v>
      </c>
      <c r="N480" s="233">
        <v>0</v>
      </c>
      <c r="O480" s="248">
        <v>8879.8703510527394</v>
      </c>
      <c r="P480" s="248">
        <v>769244.28228721733</v>
      </c>
    </row>
    <row r="481" spans="1:16" hidden="1" outlineLevel="1" x14ac:dyDescent="0.25">
      <c r="A481" s="175">
        <v>1</v>
      </c>
      <c r="B481" s="193" t="s">
        <v>1746</v>
      </c>
      <c r="C481" s="176"/>
      <c r="D481" s="198">
        <v>4750</v>
      </c>
      <c r="E481" s="228">
        <v>0.21970000000000001</v>
      </c>
      <c r="F481" s="601">
        <v>1640.72165</v>
      </c>
      <c r="G481" s="248">
        <v>1882.7873394861206</v>
      </c>
      <c r="H481" s="248">
        <v>0.38139709928058552</v>
      </c>
      <c r="I481" s="248">
        <v>56.478710734074831</v>
      </c>
      <c r="J481" s="248">
        <v>522.76045190969796</v>
      </c>
      <c r="K481" s="248">
        <v>11885.195885041128</v>
      </c>
      <c r="L481" s="248">
        <v>6717.6986421975525</v>
      </c>
      <c r="M481" s="248">
        <v>0</v>
      </c>
      <c r="N481" s="233">
        <v>0</v>
      </c>
      <c r="O481" s="248">
        <v>246.00987568110349</v>
      </c>
      <c r="P481" s="248">
        <v>21311.312302148955</v>
      </c>
    </row>
    <row r="482" spans="1:16" hidden="1" outlineLevel="1" x14ac:dyDescent="0.25">
      <c r="A482" s="175">
        <v>1</v>
      </c>
      <c r="B482" s="193"/>
      <c r="C482" s="193" t="s">
        <v>1747</v>
      </c>
      <c r="D482" s="198"/>
      <c r="E482" s="591">
        <v>8.1498999999999988</v>
      </c>
      <c r="F482" s="263">
        <v>3281.4432999999999</v>
      </c>
      <c r="G482" s="592">
        <v>69843.097578870875</v>
      </c>
      <c r="H482" s="592">
        <v>14.14814847258463</v>
      </c>
      <c r="I482" s="592">
        <v>2095.1108084280218</v>
      </c>
      <c r="J482" s="592">
        <v>19392.104720158608</v>
      </c>
      <c r="K482" s="592">
        <v>440888.2928698074</v>
      </c>
      <c r="L482" s="592">
        <v>249196.96023689499</v>
      </c>
      <c r="M482" s="592">
        <v>0</v>
      </c>
      <c r="N482" s="592">
        <v>0</v>
      </c>
      <c r="O482" s="592">
        <v>9125.8802267338433</v>
      </c>
      <c r="P482" s="592">
        <v>790555.59458936623</v>
      </c>
    </row>
    <row r="483" spans="1:16" hidden="1" outlineLevel="1" x14ac:dyDescent="0.25">
      <c r="A483" s="175">
        <v>1</v>
      </c>
      <c r="B483" s="217"/>
      <c r="C483" s="217"/>
      <c r="D483" s="583"/>
      <c r="E483" s="219"/>
      <c r="F483" s="607"/>
      <c r="G483" s="608"/>
      <c r="H483" s="593"/>
      <c r="I483" s="593"/>
      <c r="J483" s="593"/>
      <c r="K483" s="593"/>
      <c r="L483" s="593"/>
      <c r="M483" s="593"/>
      <c r="N483" s="593"/>
      <c r="O483" s="593"/>
      <c r="P483" s="593"/>
    </row>
    <row r="484" spans="1:16" hidden="1" outlineLevel="1" x14ac:dyDescent="0.25">
      <c r="A484" s="175">
        <v>1</v>
      </c>
      <c r="B484" s="193" t="s">
        <v>30</v>
      </c>
      <c r="C484" s="176"/>
      <c r="D484" s="198">
        <v>4750</v>
      </c>
      <c r="E484" s="594">
        <v>3.6762651515151514</v>
      </c>
      <c r="F484" s="601">
        <v>1640.72165</v>
      </c>
      <c r="G484" s="233">
        <v>31504.895238355719</v>
      </c>
      <c r="H484" s="233">
        <v>6.3819611514528036</v>
      </c>
      <c r="I484" s="233">
        <v>945.06470675550293</v>
      </c>
      <c r="J484" s="233">
        <v>8747.4102500952868</v>
      </c>
      <c r="K484" s="233">
        <v>198876.33796589886</v>
      </c>
      <c r="L484" s="233">
        <v>112408.01737228726</v>
      </c>
      <c r="M484" s="233">
        <v>0</v>
      </c>
      <c r="N484" s="233">
        <v>0</v>
      </c>
      <c r="O484" s="233">
        <v>4116.5113012972943</v>
      </c>
      <c r="P484" s="233">
        <v>356604.61879584141</v>
      </c>
    </row>
    <row r="485" spans="1:16" hidden="1" outlineLevel="1" x14ac:dyDescent="0.25">
      <c r="A485" s="175">
        <v>1</v>
      </c>
      <c r="B485" s="217"/>
      <c r="C485" s="217"/>
      <c r="D485" s="583"/>
      <c r="E485" s="219"/>
      <c r="F485" s="607"/>
      <c r="G485" s="608"/>
      <c r="H485" s="593"/>
      <c r="I485" s="593"/>
      <c r="J485" s="593"/>
      <c r="K485" s="593"/>
      <c r="L485" s="593"/>
      <c r="M485" s="593"/>
      <c r="N485" s="593"/>
      <c r="O485" s="593"/>
      <c r="P485" s="593"/>
    </row>
    <row r="486" spans="1:16" hidden="1" outlineLevel="1" x14ac:dyDescent="0.25">
      <c r="A486" s="175">
        <v>1</v>
      </c>
      <c r="B486" s="193" t="s">
        <v>31</v>
      </c>
      <c r="C486" s="176"/>
      <c r="D486" s="198">
        <v>4750</v>
      </c>
      <c r="E486" s="228">
        <v>5.4943999999999997</v>
      </c>
      <c r="F486" s="601">
        <v>1640.72165</v>
      </c>
      <c r="G486" s="248">
        <v>47085.966126866369</v>
      </c>
      <c r="H486" s="248">
        <v>9.5382258638472859</v>
      </c>
      <c r="I486" s="248">
        <v>1412.4562050855745</v>
      </c>
      <c r="J486" s="248">
        <v>13073.532211982903</v>
      </c>
      <c r="K486" s="248">
        <v>297232.68216099212</v>
      </c>
      <c r="L486" s="248">
        <v>168000.56176463465</v>
      </c>
      <c r="M486" s="248">
        <v>0</v>
      </c>
      <c r="N486" s="233">
        <v>0</v>
      </c>
      <c r="O486" s="248">
        <v>6152.374423952002</v>
      </c>
      <c r="P486" s="248">
        <v>532967.11111937743</v>
      </c>
    </row>
    <row r="487" spans="1:16" hidden="1" outlineLevel="1" x14ac:dyDescent="0.25">
      <c r="A487" s="175">
        <v>1</v>
      </c>
      <c r="B487" s="193"/>
      <c r="C487" s="176"/>
      <c r="D487" s="198"/>
      <c r="E487" s="228"/>
      <c r="F487" s="230"/>
      <c r="G487" s="248"/>
      <c r="H487" s="248"/>
      <c r="I487" s="248"/>
      <c r="J487" s="248"/>
      <c r="K487" s="248"/>
      <c r="L487" s="248"/>
      <c r="M487" s="248"/>
      <c r="N487" s="248"/>
      <c r="O487" s="248"/>
      <c r="P487" s="248"/>
    </row>
    <row r="488" spans="1:16" hidden="1" outlineLevel="1" x14ac:dyDescent="0.25">
      <c r="A488" s="175">
        <v>1</v>
      </c>
      <c r="B488" s="193" t="s">
        <v>32</v>
      </c>
      <c r="C488" s="176"/>
      <c r="D488" s="198">
        <v>4750</v>
      </c>
      <c r="E488" s="262">
        <v>2.6283000000000003</v>
      </c>
      <c r="F488" s="601">
        <v>13.915699999999999</v>
      </c>
      <c r="G488" s="248">
        <v>22524.032609792706</v>
      </c>
      <c r="H488" s="248">
        <v>4.562703668817389</v>
      </c>
      <c r="I488" s="248">
        <v>675.66224589154069</v>
      </c>
      <c r="J488" s="248">
        <v>0</v>
      </c>
      <c r="K488" s="248">
        <v>0</v>
      </c>
      <c r="L488" s="248">
        <v>0</v>
      </c>
      <c r="M488" s="248">
        <v>553258.63265304675</v>
      </c>
      <c r="N488" s="248">
        <v>2513258.0792479008</v>
      </c>
      <c r="O488" s="248">
        <v>2943.0485036534164</v>
      </c>
      <c r="P488" s="233">
        <v>3092664.0179639542</v>
      </c>
    </row>
    <row r="489" spans="1:16" hidden="1" outlineLevel="1" x14ac:dyDescent="0.25">
      <c r="A489" s="175">
        <v>1</v>
      </c>
      <c r="B489" s="217"/>
      <c r="C489" s="217"/>
      <c r="D489" s="583"/>
      <c r="E489" s="219"/>
      <c r="F489" s="607"/>
      <c r="G489" s="608"/>
      <c r="H489" s="593"/>
      <c r="I489" s="593"/>
      <c r="J489" s="593"/>
      <c r="K489" s="593"/>
      <c r="L489" s="593"/>
      <c r="M489" s="593"/>
      <c r="N489" s="593"/>
      <c r="O489" s="593"/>
      <c r="P489" s="593"/>
    </row>
    <row r="490" spans="1:16" hidden="1" outlineLevel="1" x14ac:dyDescent="0.25">
      <c r="A490" s="175">
        <v>1</v>
      </c>
      <c r="B490" s="193" t="s">
        <v>1748</v>
      </c>
      <c r="C490" s="176"/>
      <c r="D490" s="198">
        <v>4750</v>
      </c>
      <c r="E490" s="228">
        <v>16.761400000000002</v>
      </c>
      <c r="F490" s="601">
        <v>1640.72165</v>
      </c>
      <c r="G490" s="248">
        <v>143642.01962704901</v>
      </c>
      <c r="H490" s="248">
        <v>29.09763013145929</v>
      </c>
      <c r="I490" s="248">
        <v>4308.8860359495757</v>
      </c>
      <c r="J490" s="248">
        <v>39882.553657893543</v>
      </c>
      <c r="K490" s="248">
        <v>906747.93949717062</v>
      </c>
      <c r="L490" s="248">
        <v>512508.12026094703</v>
      </c>
      <c r="M490" s="248">
        <v>0</v>
      </c>
      <c r="N490" s="233">
        <v>0</v>
      </c>
      <c r="O490" s="248">
        <v>18768.638735736222</v>
      </c>
      <c r="P490" s="248">
        <v>1625887.2554448773</v>
      </c>
    </row>
    <row r="491" spans="1:16" hidden="1" outlineLevel="1" x14ac:dyDescent="0.25">
      <c r="A491" s="175">
        <v>1</v>
      </c>
      <c r="B491" s="217"/>
      <c r="C491" s="217"/>
      <c r="D491" s="583"/>
      <c r="E491" s="219"/>
      <c r="F491" s="607"/>
      <c r="G491" s="608"/>
      <c r="H491" s="593"/>
      <c r="I491" s="593"/>
      <c r="J491" s="593"/>
      <c r="K491" s="593"/>
      <c r="L491" s="593"/>
      <c r="M491" s="593"/>
      <c r="N491" s="593"/>
      <c r="O491" s="593"/>
      <c r="P491" s="593"/>
    </row>
    <row r="492" spans="1:16" hidden="1" outlineLevel="1" x14ac:dyDescent="0.25">
      <c r="A492" s="175">
        <v>1</v>
      </c>
      <c r="B492" s="193" t="s">
        <v>33</v>
      </c>
      <c r="C492" s="193"/>
      <c r="D492" s="198">
        <v>4750</v>
      </c>
      <c r="E492" s="228">
        <v>5.4963000000000006</v>
      </c>
      <c r="F492" s="601">
        <v>1640.72165</v>
      </c>
      <c r="G492" s="248">
        <v>47102.248766579731</v>
      </c>
      <c r="H492" s="248">
        <v>9.5415242456799376</v>
      </c>
      <c r="I492" s="248">
        <v>1412.9446418192786</v>
      </c>
      <c r="J492" s="248">
        <v>13078.053126223364</v>
      </c>
      <c r="K492" s="248">
        <v>297335.46719595609</v>
      </c>
      <c r="L492" s="248">
        <v>168058.65747433048</v>
      </c>
      <c r="M492" s="248">
        <v>0</v>
      </c>
      <c r="N492" s="233">
        <v>0</v>
      </c>
      <c r="O492" s="248">
        <v>6154.5019558764188</v>
      </c>
      <c r="P492" s="248">
        <v>533151.41468503117</v>
      </c>
    </row>
    <row r="493" spans="1:16" hidden="1" outlineLevel="1" x14ac:dyDescent="0.25">
      <c r="A493" s="175">
        <v>1</v>
      </c>
      <c r="B493" s="193" t="s">
        <v>33</v>
      </c>
      <c r="C493" s="193"/>
      <c r="D493" s="198">
        <v>4750</v>
      </c>
      <c r="E493" s="252">
        <v>1.5589999999999999</v>
      </c>
      <c r="F493" s="602">
        <v>13.915699999999999</v>
      </c>
      <c r="G493" s="581">
        <v>13360.33437532505</v>
      </c>
      <c r="H493" s="581">
        <v>2.7064090932109379</v>
      </c>
      <c r="I493" s="581">
        <v>400.77519360229496</v>
      </c>
      <c r="J493" s="581">
        <v>0</v>
      </c>
      <c r="K493" s="581">
        <v>0</v>
      </c>
      <c r="L493" s="581">
        <v>0</v>
      </c>
      <c r="M493" s="581">
        <v>328170.37944911147</v>
      </c>
      <c r="N493" s="581">
        <v>1490761.8405613804</v>
      </c>
      <c r="O493" s="581">
        <v>1745.6959316652119</v>
      </c>
      <c r="P493" s="248">
        <v>1834441.7319201776</v>
      </c>
    </row>
    <row r="494" spans="1:16" hidden="1" outlineLevel="1" x14ac:dyDescent="0.25">
      <c r="A494" s="175">
        <v>1</v>
      </c>
      <c r="B494" s="193"/>
      <c r="C494" s="268" t="s">
        <v>1749</v>
      </c>
      <c r="D494" s="198"/>
      <c r="E494" s="246">
        <v>7.0553000000000008</v>
      </c>
      <c r="F494" s="253">
        <v>1654.63735</v>
      </c>
      <c r="G494" s="248">
        <v>60462.583141904783</v>
      </c>
      <c r="H494" s="248">
        <v>12.247933338890876</v>
      </c>
      <c r="I494" s="248">
        <v>1813.7198354215734</v>
      </c>
      <c r="J494" s="248">
        <v>13078.053126223364</v>
      </c>
      <c r="K494" s="248">
        <v>297335.46719595609</v>
      </c>
      <c r="L494" s="248">
        <v>168058.65747433048</v>
      </c>
      <c r="M494" s="248">
        <v>328170.37944911147</v>
      </c>
      <c r="N494" s="248">
        <v>1490761.8405613804</v>
      </c>
      <c r="O494" s="248">
        <v>7900.1978875416307</v>
      </c>
      <c r="P494" s="248">
        <v>2367593.1466052085</v>
      </c>
    </row>
    <row r="495" spans="1:16" hidden="1" outlineLevel="1" x14ac:dyDescent="0.25">
      <c r="A495" s="175">
        <v>1</v>
      </c>
      <c r="B495" s="193" t="s">
        <v>34</v>
      </c>
      <c r="C495" s="193"/>
      <c r="D495" s="198">
        <v>4750</v>
      </c>
      <c r="E495" s="228">
        <v>9.1630000000000003</v>
      </c>
      <c r="F495" s="601">
        <v>1640.72165</v>
      </c>
      <c r="G495" s="248">
        <v>78525.172470238162</v>
      </c>
      <c r="H495" s="248">
        <v>15.906880385562154</v>
      </c>
      <c r="I495" s="248">
        <v>2355.5504162782322</v>
      </c>
      <c r="J495" s="248">
        <v>21802.703781741293</v>
      </c>
      <c r="K495" s="248">
        <v>495694.35546031792</v>
      </c>
      <c r="L495" s="248">
        <v>280174.20418050146</v>
      </c>
      <c r="M495" s="248">
        <v>0</v>
      </c>
      <c r="N495" s="233">
        <v>0</v>
      </c>
      <c r="O495" s="248">
        <v>10260.302643905105</v>
      </c>
      <c r="P495" s="248">
        <v>888828.19583336776</v>
      </c>
    </row>
    <row r="496" spans="1:16" hidden="1" outlineLevel="1" x14ac:dyDescent="0.25">
      <c r="A496" s="175">
        <v>1</v>
      </c>
      <c r="B496" s="193" t="s">
        <v>34</v>
      </c>
      <c r="C496" s="271"/>
      <c r="D496" s="198">
        <v>4750</v>
      </c>
      <c r="E496" s="252">
        <v>1.6512</v>
      </c>
      <c r="F496" s="602">
        <v>13.915699999999999</v>
      </c>
      <c r="G496" s="581">
        <v>14150.47089194145</v>
      </c>
      <c r="H496" s="581">
        <v>2.8664674116163575</v>
      </c>
      <c r="I496" s="581">
        <v>424.47722878518886</v>
      </c>
      <c r="J496" s="581">
        <v>0</v>
      </c>
      <c r="K496" s="581">
        <v>0</v>
      </c>
      <c r="L496" s="581">
        <v>0</v>
      </c>
      <c r="M496" s="581">
        <v>347578.53146014939</v>
      </c>
      <c r="N496" s="581">
        <v>1578926.2034220342</v>
      </c>
      <c r="O496" s="581">
        <v>1848.9372176815893</v>
      </c>
      <c r="P496" s="248">
        <v>1942931.4866880034</v>
      </c>
    </row>
    <row r="497" spans="1:16" hidden="1" outlineLevel="1" x14ac:dyDescent="0.25">
      <c r="A497" s="175">
        <v>1</v>
      </c>
      <c r="B497" s="193"/>
      <c r="C497" s="268" t="s">
        <v>1750</v>
      </c>
      <c r="D497" s="198"/>
      <c r="E497" s="246">
        <v>10.8142</v>
      </c>
      <c r="F497" s="253">
        <v>1654.63735</v>
      </c>
      <c r="G497" s="248">
        <v>92675.643362179617</v>
      </c>
      <c r="H497" s="248">
        <v>18.773347797178513</v>
      </c>
      <c r="I497" s="248">
        <v>2780.027645063421</v>
      </c>
      <c r="J497" s="248">
        <v>21802.703781741293</v>
      </c>
      <c r="K497" s="248">
        <v>495694.35546031792</v>
      </c>
      <c r="L497" s="248">
        <v>280174.20418050146</v>
      </c>
      <c r="M497" s="248">
        <v>347578.53146014939</v>
      </c>
      <c r="N497" s="248">
        <v>1578926.2034220342</v>
      </c>
      <c r="O497" s="248">
        <v>12109.239861586693</v>
      </c>
      <c r="P497" s="248">
        <v>2831759.6825213712</v>
      </c>
    </row>
    <row r="498" spans="1:16" hidden="1" outlineLevel="1" x14ac:dyDescent="0.25">
      <c r="A498" s="175">
        <v>1</v>
      </c>
      <c r="B498" s="193" t="s">
        <v>1751</v>
      </c>
      <c r="C498" s="193"/>
      <c r="D498" s="198">
        <v>4750</v>
      </c>
      <c r="E498" s="228"/>
      <c r="F498" s="601"/>
      <c r="G498" s="248"/>
      <c r="H498" s="248"/>
      <c r="I498" s="248"/>
      <c r="J498" s="248"/>
      <c r="K498" s="248"/>
      <c r="L498" s="248"/>
      <c r="M498" s="248"/>
      <c r="N498" s="233"/>
      <c r="O498" s="248"/>
      <c r="P498" s="248"/>
    </row>
    <row r="499" spans="1:16" hidden="1" outlineLevel="1" x14ac:dyDescent="0.25">
      <c r="A499" s="175">
        <v>1</v>
      </c>
      <c r="B499" s="193"/>
      <c r="C499" s="193" t="s">
        <v>1752</v>
      </c>
      <c r="D499" s="198"/>
      <c r="E499" s="595"/>
      <c r="F499" s="273"/>
      <c r="G499" s="582"/>
      <c r="H499" s="582"/>
      <c r="I499" s="582"/>
      <c r="J499" s="582"/>
      <c r="K499" s="582"/>
      <c r="L499" s="582"/>
      <c r="M499" s="582"/>
      <c r="N499" s="582"/>
      <c r="O499" s="582"/>
      <c r="P499" s="582"/>
    </row>
    <row r="500" spans="1:16" hidden="1" outlineLevel="1" x14ac:dyDescent="0.25">
      <c r="A500" s="175">
        <v>1</v>
      </c>
      <c r="B500" s="217"/>
      <c r="C500" s="217"/>
      <c r="D500" s="583"/>
      <c r="E500" s="219"/>
      <c r="F500" s="607"/>
      <c r="G500" s="593"/>
      <c r="H500" s="593"/>
      <c r="I500" s="593"/>
      <c r="J500" s="593"/>
      <c r="K500" s="593"/>
      <c r="L500" s="593"/>
      <c r="M500" s="593"/>
      <c r="N500" s="593"/>
      <c r="O500" s="593"/>
      <c r="P500" s="593"/>
    </row>
    <row r="501" spans="1:16" hidden="1" outlineLevel="1" x14ac:dyDescent="0.25">
      <c r="A501" s="175">
        <v>1</v>
      </c>
      <c r="B501" s="193" t="s">
        <v>35</v>
      </c>
      <c r="C501" s="193"/>
      <c r="D501" s="198">
        <v>4750</v>
      </c>
      <c r="E501" s="262">
        <v>3.7766999999999999</v>
      </c>
      <c r="F501" s="601">
        <v>1640.72165</v>
      </c>
      <c r="G501" s="248">
        <v>32365.602844957812</v>
      </c>
      <c r="H501" s="248">
        <v>6.556315088088243</v>
      </c>
      <c r="I501" s="248">
        <v>970.88369062075742</v>
      </c>
      <c r="J501" s="248">
        <v>8986.3877957549194</v>
      </c>
      <c r="K501" s="248">
        <v>204309.60081490589</v>
      </c>
      <c r="L501" s="248">
        <v>115478.98253066679</v>
      </c>
      <c r="M501" s="248">
        <v>0</v>
      </c>
      <c r="N501" s="233">
        <v>0</v>
      </c>
      <c r="O501" s="248">
        <v>4228.973588915901</v>
      </c>
      <c r="P501" s="248">
        <v>366346.98758091015</v>
      </c>
    </row>
    <row r="502" spans="1:16" hidden="1" outlineLevel="1" x14ac:dyDescent="0.25">
      <c r="A502" s="175">
        <v>1</v>
      </c>
      <c r="B502" s="193" t="s">
        <v>35</v>
      </c>
      <c r="C502" s="193"/>
      <c r="D502" s="198">
        <v>4750</v>
      </c>
      <c r="E502" s="252">
        <v>2.6456</v>
      </c>
      <c r="F502" s="602">
        <v>13.915699999999999</v>
      </c>
      <c r="G502" s="581">
        <v>22672.290329287971</v>
      </c>
      <c r="H502" s="581">
        <v>4.5927363033988833</v>
      </c>
      <c r="I502" s="581">
        <v>680.10959088789707</v>
      </c>
      <c r="J502" s="581">
        <v>0</v>
      </c>
      <c r="K502" s="581">
        <v>0</v>
      </c>
      <c r="L502" s="581">
        <v>0</v>
      </c>
      <c r="M502" s="581">
        <v>556900.29241216765</v>
      </c>
      <c r="N502" s="581">
        <v>2529800.8501534238</v>
      </c>
      <c r="O502" s="581">
        <v>2962.4202417020429</v>
      </c>
      <c r="P502" s="581">
        <v>3113020.5554637727</v>
      </c>
    </row>
    <row r="503" spans="1:16" hidden="1" outlineLevel="1" x14ac:dyDescent="0.25">
      <c r="A503" s="175">
        <v>1</v>
      </c>
      <c r="B503" s="193"/>
      <c r="C503" s="193" t="s">
        <v>36</v>
      </c>
      <c r="D503" s="198"/>
      <c r="E503" s="272">
        <v>6.4222999999999999</v>
      </c>
      <c r="F503" s="253">
        <v>1654.63735</v>
      </c>
      <c r="G503" s="582">
        <v>55037.893174245779</v>
      </c>
      <c r="H503" s="582">
        <v>11.149051391487127</v>
      </c>
      <c r="I503" s="582">
        <v>1650.9932815086545</v>
      </c>
      <c r="J503" s="582">
        <v>8986.3877957549194</v>
      </c>
      <c r="K503" s="582">
        <v>204309.60081490589</v>
      </c>
      <c r="L503" s="582">
        <v>115478.98253066679</v>
      </c>
      <c r="M503" s="582">
        <v>556900.29241216765</v>
      </c>
      <c r="N503" s="582">
        <v>2529800.8501534238</v>
      </c>
      <c r="O503" s="582">
        <v>7191.3938306179443</v>
      </c>
      <c r="P503" s="582">
        <v>3479367.5430446831</v>
      </c>
    </row>
    <row r="504" spans="1:16" hidden="1" outlineLevel="1" x14ac:dyDescent="0.25">
      <c r="A504" s="175">
        <v>1</v>
      </c>
      <c r="B504" s="217"/>
      <c r="C504" s="217"/>
      <c r="D504" s="583"/>
      <c r="E504" s="219"/>
      <c r="F504" s="607"/>
      <c r="G504" s="593"/>
      <c r="H504" s="593"/>
      <c r="I504" s="593"/>
      <c r="J504" s="593"/>
      <c r="K504" s="593"/>
      <c r="L504" s="593"/>
      <c r="M504" s="593"/>
      <c r="N504" s="593"/>
      <c r="O504" s="593"/>
      <c r="P504" s="593"/>
    </row>
    <row r="505" spans="1:16" hidden="1" outlineLevel="1" x14ac:dyDescent="0.25">
      <c r="A505" s="175">
        <v>1</v>
      </c>
      <c r="B505" s="234" t="s">
        <v>37</v>
      </c>
      <c r="C505" s="176"/>
      <c r="D505" s="198">
        <v>4106</v>
      </c>
      <c r="E505" s="261">
        <v>1.1321212121212121E-2</v>
      </c>
      <c r="F505" s="601">
        <v>20.861599999999999</v>
      </c>
      <c r="G505" s="248">
        <v>110.03224782799821</v>
      </c>
      <c r="H505" s="248">
        <v>0</v>
      </c>
      <c r="I505" s="248">
        <v>0</v>
      </c>
      <c r="J505" s="248">
        <v>0.19026314606132669</v>
      </c>
      <c r="K505" s="248">
        <v>1003.3453869429991</v>
      </c>
      <c r="L505" s="248">
        <v>908.91581841634263</v>
      </c>
      <c r="M505" s="248">
        <v>0</v>
      </c>
      <c r="N505" s="233">
        <v>0</v>
      </c>
      <c r="O505" s="248">
        <v>0</v>
      </c>
      <c r="P505" s="248">
        <v>2022.4837163334014</v>
      </c>
    </row>
    <row r="506" spans="1:16" hidden="1" outlineLevel="1" x14ac:dyDescent="0.25">
      <c r="A506" s="175">
        <v>1</v>
      </c>
      <c r="B506" s="234" t="s">
        <v>37</v>
      </c>
      <c r="C506" s="176"/>
      <c r="D506" s="198">
        <v>4750</v>
      </c>
      <c r="E506" s="596">
        <v>9.6438000000000006</v>
      </c>
      <c r="F506" s="602">
        <v>1640.72165</v>
      </c>
      <c r="G506" s="581">
        <v>82645.537298753974</v>
      </c>
      <c r="H506" s="581">
        <v>16.741544588266319</v>
      </c>
      <c r="I506" s="581">
        <v>2479.1506171018245</v>
      </c>
      <c r="J506" s="581">
        <v>22946.733027431699</v>
      </c>
      <c r="K506" s="581">
        <v>521704.37904487771</v>
      </c>
      <c r="L506" s="581">
        <v>294875.47640247957</v>
      </c>
      <c r="M506" s="581">
        <v>0</v>
      </c>
      <c r="N506" s="581">
        <v>0</v>
      </c>
      <c r="O506" s="581">
        <v>10798.680196146681</v>
      </c>
      <c r="P506" s="581">
        <v>935466.69813137979</v>
      </c>
    </row>
    <row r="507" spans="1:16" hidden="1" outlineLevel="1" x14ac:dyDescent="0.25">
      <c r="A507" s="175">
        <v>1</v>
      </c>
      <c r="B507" s="193"/>
      <c r="C507" s="193" t="s">
        <v>38</v>
      </c>
      <c r="D507" s="198"/>
      <c r="E507" s="246">
        <v>9.6551212121212124</v>
      </c>
      <c r="F507" s="253">
        <v>1661.5832499999999</v>
      </c>
      <c r="G507" s="248">
        <v>82755.569546581974</v>
      </c>
      <c r="H507" s="248">
        <v>16.741544588266319</v>
      </c>
      <c r="I507" s="248">
        <v>2479.1506171018245</v>
      </c>
      <c r="J507" s="248">
        <v>22946.923290577761</v>
      </c>
      <c r="K507" s="248">
        <v>522707.72443182074</v>
      </c>
      <c r="L507" s="248">
        <v>295784.39222089591</v>
      </c>
      <c r="M507" s="248">
        <v>0</v>
      </c>
      <c r="N507" s="248">
        <v>0</v>
      </c>
      <c r="O507" s="248">
        <v>10798.680196146681</v>
      </c>
      <c r="P507" s="248">
        <v>937489.18184771319</v>
      </c>
    </row>
    <row r="508" spans="1:16" hidden="1" outlineLevel="1" x14ac:dyDescent="0.25">
      <c r="A508" s="175">
        <v>1</v>
      </c>
      <c r="B508" s="217"/>
      <c r="C508" s="217"/>
      <c r="D508" s="583"/>
      <c r="E508" s="219"/>
      <c r="F508" s="221"/>
      <c r="G508" s="593"/>
      <c r="H508" s="593"/>
      <c r="I508" s="593"/>
      <c r="J508" s="593"/>
      <c r="K508" s="593"/>
      <c r="L508" s="593"/>
      <c r="M508" s="593"/>
      <c r="N508" s="593"/>
      <c r="O508" s="593"/>
      <c r="P508" s="593"/>
    </row>
    <row r="509" spans="1:16" hidden="1" outlineLevel="1" x14ac:dyDescent="0.25">
      <c r="A509" s="175">
        <v>1</v>
      </c>
      <c r="B509" s="193" t="s">
        <v>10</v>
      </c>
      <c r="C509" s="176"/>
      <c r="D509" s="198">
        <v>4106</v>
      </c>
      <c r="E509" s="246">
        <v>0.28029999999999999</v>
      </c>
      <c r="F509" s="195">
        <v>20.861599999999999</v>
      </c>
      <c r="G509" s="248">
        <v>2724.2700459962543</v>
      </c>
      <c r="H509" s="248">
        <v>0</v>
      </c>
      <c r="I509" s="248">
        <v>0</v>
      </c>
      <c r="J509" s="248">
        <v>4.7106934549054227</v>
      </c>
      <c r="K509" s="248">
        <v>24841.660853008692</v>
      </c>
      <c r="L509" s="248">
        <v>22503.6949378194</v>
      </c>
      <c r="M509" s="248">
        <v>0</v>
      </c>
      <c r="N509" s="233">
        <v>0</v>
      </c>
      <c r="O509" s="248">
        <v>0</v>
      </c>
      <c r="P509" s="248">
        <v>50074.336530279252</v>
      </c>
    </row>
    <row r="510" spans="1:16" hidden="1" outlineLevel="1" x14ac:dyDescent="0.25">
      <c r="A510" s="175">
        <v>1</v>
      </c>
      <c r="B510" s="234" t="s">
        <v>10</v>
      </c>
      <c r="C510" s="176"/>
      <c r="D510" s="198">
        <v>4750</v>
      </c>
      <c r="E510" s="597">
        <v>5.0794121212121208</v>
      </c>
      <c r="F510" s="196">
        <v>1640.72165</v>
      </c>
      <c r="G510" s="581">
        <v>43529.598697544476</v>
      </c>
      <c r="H510" s="581">
        <v>8.8178108742874315</v>
      </c>
      <c r="I510" s="581">
        <v>1305.7744555898626</v>
      </c>
      <c r="J510" s="581">
        <v>12086.098206283321</v>
      </c>
      <c r="K510" s="581">
        <v>274782.92235529504</v>
      </c>
      <c r="L510" s="581">
        <v>155311.60632602847</v>
      </c>
      <c r="M510" s="581">
        <v>0</v>
      </c>
      <c r="N510" s="581">
        <v>0</v>
      </c>
      <c r="O510" s="581">
        <v>5687.6902342853164</v>
      </c>
      <c r="P510" s="581">
        <v>492712.5080859008</v>
      </c>
    </row>
    <row r="511" spans="1:16" hidden="1" outlineLevel="1" x14ac:dyDescent="0.25">
      <c r="A511" s="175">
        <v>1</v>
      </c>
      <c r="B511" s="193"/>
      <c r="C511" s="193" t="s">
        <v>1753</v>
      </c>
      <c r="D511" s="198"/>
      <c r="E511" s="246">
        <v>5.3597121212121213</v>
      </c>
      <c r="F511" s="253">
        <v>1661.5832499999999</v>
      </c>
      <c r="G511" s="248">
        <v>46253.868743540734</v>
      </c>
      <c r="H511" s="248">
        <v>8.8178108742874315</v>
      </c>
      <c r="I511" s="248">
        <v>1305.7744555898626</v>
      </c>
      <c r="J511" s="248">
        <v>12090.808899738226</v>
      </c>
      <c r="K511" s="248">
        <v>299624.58320830372</v>
      </c>
      <c r="L511" s="248">
        <v>177815.30126384788</v>
      </c>
      <c r="M511" s="248">
        <v>0</v>
      </c>
      <c r="N511" s="248">
        <v>0</v>
      </c>
      <c r="O511" s="248">
        <v>5687.6902342853164</v>
      </c>
      <c r="P511" s="248">
        <v>542786.84461618005</v>
      </c>
    </row>
    <row r="512" spans="1:16" hidden="1" outlineLevel="1" x14ac:dyDescent="0.25">
      <c r="A512" s="175">
        <v>1</v>
      </c>
      <c r="B512" s="217"/>
      <c r="C512" s="202"/>
      <c r="D512" s="193"/>
      <c r="E512" s="240"/>
      <c r="F512" s="275"/>
      <c r="G512" s="276"/>
      <c r="H512" s="276"/>
      <c r="I512" s="276"/>
      <c r="J512" s="276"/>
      <c r="K512" s="276"/>
      <c r="L512" s="276"/>
      <c r="M512" s="276"/>
      <c r="N512" s="276"/>
      <c r="O512" s="276"/>
      <c r="P512" s="276"/>
    </row>
    <row r="513" spans="1:16" hidden="1" outlineLevel="1" x14ac:dyDescent="0.25">
      <c r="A513" s="175">
        <v>1</v>
      </c>
      <c r="B513" s="193" t="s">
        <v>1754</v>
      </c>
      <c r="C513" s="193"/>
      <c r="D513" s="198">
        <v>4750</v>
      </c>
      <c r="E513" s="228">
        <v>6.0187499999999998</v>
      </c>
      <c r="F513" s="195">
        <v>1640.72165</v>
      </c>
      <c r="G513" s="248">
        <v>51579.546197232987</v>
      </c>
      <c r="H513" s="248">
        <v>10.448492450136659</v>
      </c>
      <c r="I513" s="248">
        <v>1547.2518899895897</v>
      </c>
      <c r="J513" s="248">
        <v>14321.185570921685</v>
      </c>
      <c r="K513" s="248">
        <v>325598.64694169909</v>
      </c>
      <c r="L513" s="248">
        <v>184033.44880621991</v>
      </c>
      <c r="M513" s="248">
        <v>0</v>
      </c>
      <c r="N513" s="233">
        <v>0</v>
      </c>
      <c r="O513" s="248">
        <v>6739.5172474084738</v>
      </c>
      <c r="P513" s="248">
        <v>583830.04514592199</v>
      </c>
    </row>
    <row r="514" spans="1:16" hidden="1" outlineLevel="1" x14ac:dyDescent="0.25">
      <c r="A514" s="175">
        <v>1</v>
      </c>
      <c r="B514" s="217"/>
      <c r="C514" s="202"/>
      <c r="D514" s="193"/>
      <c r="E514" s="240"/>
      <c r="F514" s="275"/>
      <c r="G514" s="276"/>
      <c r="H514" s="276"/>
      <c r="I514" s="276"/>
      <c r="J514" s="276"/>
      <c r="K514" s="276"/>
      <c r="L514" s="276"/>
      <c r="M514" s="276"/>
      <c r="N514" s="276"/>
      <c r="O514" s="276"/>
      <c r="P514" s="276"/>
    </row>
    <row r="515" spans="1:16" hidden="1" outlineLevel="1" x14ac:dyDescent="0.25">
      <c r="A515" s="175">
        <v>1</v>
      </c>
      <c r="B515" s="193" t="s">
        <v>1755</v>
      </c>
      <c r="C515" s="193"/>
      <c r="D515" s="198">
        <v>4750</v>
      </c>
      <c r="E515" s="246">
        <v>16.009172727272727</v>
      </c>
      <c r="F515" s="195">
        <v>1640.72165</v>
      </c>
      <c r="G515" s="248">
        <v>137195.57454053516</v>
      </c>
      <c r="H515" s="248">
        <v>27.791770778623935</v>
      </c>
      <c r="I515" s="248">
        <v>4115.509492742267</v>
      </c>
      <c r="J515" s="248">
        <v>38092.682610876196</v>
      </c>
      <c r="K515" s="248">
        <v>866054.40974553686</v>
      </c>
      <c r="L515" s="248">
        <v>489507.50064954977</v>
      </c>
      <c r="M515" s="248">
        <v>0</v>
      </c>
      <c r="N515" s="233">
        <v>0</v>
      </c>
      <c r="O515" s="248">
        <v>17926.329505660793</v>
      </c>
      <c r="P515" s="248">
        <v>1552919.7983156797</v>
      </c>
    </row>
    <row r="516" spans="1:16" hidden="1" outlineLevel="1" x14ac:dyDescent="0.25">
      <c r="A516" s="175">
        <v>1</v>
      </c>
      <c r="B516" s="193"/>
      <c r="C516" s="193"/>
      <c r="D516" s="198"/>
      <c r="E516" s="246"/>
      <c r="F516" s="195"/>
      <c r="G516" s="248"/>
      <c r="H516" s="248"/>
      <c r="I516" s="248"/>
      <c r="J516" s="248"/>
      <c r="K516" s="248"/>
      <c r="L516" s="248"/>
      <c r="M516" s="248"/>
      <c r="N516" s="233"/>
      <c r="O516" s="248"/>
      <c r="P516" s="248"/>
    </row>
    <row r="517" spans="1:16" hidden="1" outlineLevel="1" x14ac:dyDescent="0.25">
      <c r="A517" s="175">
        <v>1</v>
      </c>
      <c r="B517" s="193" t="s">
        <v>1756</v>
      </c>
      <c r="C517" s="193"/>
      <c r="D517" s="198">
        <v>4750</v>
      </c>
      <c r="E517" s="228">
        <v>6.4525999999999994</v>
      </c>
      <c r="F517" s="195">
        <v>1640.72165</v>
      </c>
      <c r="G517" s="248">
        <v>55297.558428621487</v>
      </c>
      <c r="H517" s="248">
        <v>11.201651901765617</v>
      </c>
      <c r="I517" s="248">
        <v>1658.7825620513936</v>
      </c>
      <c r="J517" s="248">
        <v>15353.500646301851</v>
      </c>
      <c r="K517" s="248">
        <v>349068.79821491294</v>
      </c>
      <c r="L517" s="248">
        <v>197299.14546492451</v>
      </c>
      <c r="M517" s="248">
        <v>0</v>
      </c>
      <c r="N517" s="233">
        <v>0</v>
      </c>
      <c r="O517" s="248">
        <v>7225.3223660440972</v>
      </c>
      <c r="P517" s="248">
        <v>625914.30933475797</v>
      </c>
    </row>
    <row r="518" spans="1:16" hidden="1" outlineLevel="1" x14ac:dyDescent="0.25">
      <c r="A518" s="175">
        <v>1</v>
      </c>
      <c r="B518" s="217"/>
      <c r="C518" s="202"/>
      <c r="D518" s="193"/>
      <c r="E518" s="240"/>
      <c r="F518" s="275"/>
      <c r="G518" s="276"/>
      <c r="H518" s="276"/>
      <c r="I518" s="276"/>
      <c r="J518" s="276"/>
      <c r="K518" s="276"/>
      <c r="L518" s="276"/>
      <c r="M518" s="276"/>
      <c r="N518" s="276"/>
      <c r="O518" s="276"/>
      <c r="P518" s="276"/>
    </row>
    <row r="519" spans="1:16" hidden="1" outlineLevel="1" x14ac:dyDescent="0.25">
      <c r="A519" s="175">
        <v>1</v>
      </c>
      <c r="B519" s="217"/>
      <c r="C519" s="202"/>
      <c r="D519" s="193"/>
      <c r="E519" s="240"/>
      <c r="F519" s="275"/>
      <c r="G519" s="276"/>
      <c r="H519" s="276"/>
      <c r="I519" s="276"/>
      <c r="J519" s="276"/>
      <c r="K519" s="276"/>
      <c r="L519" s="276"/>
      <c r="M519" s="276"/>
      <c r="N519" s="276"/>
      <c r="O519" s="276"/>
      <c r="P519" s="276"/>
    </row>
    <row r="520" spans="1:16" ht="15.75" hidden="1" outlineLevel="1" thickBot="1" x14ac:dyDescent="0.3">
      <c r="A520" s="175">
        <v>1</v>
      </c>
      <c r="B520" s="217"/>
      <c r="C520" s="202" t="s">
        <v>39</v>
      </c>
      <c r="D520" s="193"/>
      <c r="E520" s="598">
        <v>113.78822121212121</v>
      </c>
      <c r="F520" s="241">
        <v>23095.320499999998</v>
      </c>
      <c r="G520" s="598">
        <v>975478.64255199872</v>
      </c>
      <c r="H520" s="598">
        <v>197.02901237236685</v>
      </c>
      <c r="I520" s="598">
        <v>29176.793994997774</v>
      </c>
      <c r="J520" s="598">
        <v>237236.06863891135</v>
      </c>
      <c r="K520" s="598">
        <v>5419403.1601539124</v>
      </c>
      <c r="L520" s="241">
        <v>3071936.0543423709</v>
      </c>
      <c r="M520" s="598">
        <v>2904002.6323066754</v>
      </c>
      <c r="N520" s="598">
        <v>13191855.756146656</v>
      </c>
      <c r="O520" s="598">
        <v>127088.23148032767</v>
      </c>
      <c r="P520" s="267">
        <v>25956374.368628222</v>
      </c>
    </row>
    <row r="521" spans="1:16" hidden="1" outlineLevel="1" x14ac:dyDescent="0.25">
      <c r="A521" s="175">
        <v>1</v>
      </c>
      <c r="B521" s="217"/>
      <c r="C521" s="217"/>
      <c r="D521" s="583"/>
      <c r="E521" s="219"/>
      <c r="F521" s="221"/>
      <c r="G521" s="593"/>
      <c r="H521" s="593"/>
      <c r="I521" s="593"/>
      <c r="J521" s="593"/>
      <c r="K521" s="593"/>
      <c r="L521" s="593"/>
      <c r="M521" s="593"/>
      <c r="N521" s="593"/>
      <c r="O521" s="593"/>
      <c r="P521" s="593"/>
    </row>
    <row r="522" spans="1:16" ht="15.75" collapsed="1" x14ac:dyDescent="0.25">
      <c r="A522" s="175">
        <v>1</v>
      </c>
      <c r="B522" s="604" t="s">
        <v>40</v>
      </c>
      <c r="C522" s="234"/>
      <c r="D522" s="605"/>
      <c r="E522" s="606"/>
      <c r="F522" s="607"/>
      <c r="G522" s="608"/>
      <c r="H522" s="608"/>
      <c r="I522" s="608"/>
      <c r="J522" s="608"/>
      <c r="K522" s="608"/>
      <c r="L522" s="608"/>
      <c r="M522" s="608"/>
      <c r="N522" s="608"/>
      <c r="O522" s="608"/>
      <c r="P522" s="593"/>
    </row>
    <row r="523" spans="1:16" x14ac:dyDescent="0.25">
      <c r="A523" s="175">
        <v>1</v>
      </c>
      <c r="B523" s="217"/>
      <c r="C523" s="217"/>
      <c r="D523" s="583"/>
      <c r="E523" s="219"/>
      <c r="F523" s="221"/>
      <c r="G523" s="593"/>
      <c r="H523" s="593"/>
      <c r="I523" s="593"/>
      <c r="J523" s="593"/>
      <c r="K523" s="593"/>
      <c r="L523" s="593"/>
      <c r="M523" s="593"/>
      <c r="N523" s="593"/>
      <c r="O523" s="593"/>
      <c r="P523" s="593"/>
    </row>
    <row r="524" spans="1:16" x14ac:dyDescent="0.25">
      <c r="A524" s="175">
        <v>1</v>
      </c>
      <c r="B524" s="193" t="s">
        <v>1757</v>
      </c>
      <c r="C524" s="176"/>
      <c r="D524" s="198">
        <v>4105</v>
      </c>
      <c r="E524" s="246">
        <v>19.98</v>
      </c>
      <c r="F524" s="195"/>
      <c r="G524" s="248"/>
      <c r="H524" s="248"/>
      <c r="I524" s="248"/>
      <c r="J524" s="248"/>
      <c r="K524" s="248"/>
      <c r="L524" s="248"/>
      <c r="M524" s="248"/>
      <c r="N524" s="233"/>
      <c r="O524" s="248"/>
      <c r="P524" s="248"/>
    </row>
    <row r="525" spans="1:16" x14ac:dyDescent="0.25">
      <c r="A525" s="175">
        <v>1</v>
      </c>
      <c r="B525" s="193" t="s">
        <v>1758</v>
      </c>
      <c r="C525" s="176"/>
      <c r="D525" s="198">
        <v>4105</v>
      </c>
      <c r="E525" s="246">
        <v>5.89</v>
      </c>
      <c r="F525" s="195"/>
      <c r="G525" s="248"/>
      <c r="H525" s="248"/>
      <c r="I525" s="248"/>
      <c r="J525" s="248"/>
      <c r="K525" s="248"/>
      <c r="L525" s="248"/>
      <c r="M525" s="248"/>
      <c r="N525" s="233"/>
      <c r="O525" s="248"/>
      <c r="P525" s="248"/>
    </row>
    <row r="526" spans="1:16" x14ac:dyDescent="0.25">
      <c r="A526" s="175">
        <v>1</v>
      </c>
      <c r="B526" s="193" t="s">
        <v>42</v>
      </c>
      <c r="C526" s="193"/>
      <c r="D526" s="198">
        <v>4105</v>
      </c>
      <c r="E526" s="243">
        <v>34.801699999999997</v>
      </c>
      <c r="F526" s="195">
        <v>2.3711000000000002</v>
      </c>
      <c r="G526" s="248">
        <v>223769.25491682845</v>
      </c>
      <c r="H526" s="248">
        <v>7879.268953331949</v>
      </c>
      <c r="I526" s="248">
        <v>7493.105934307222</v>
      </c>
      <c r="J526" s="248">
        <v>136417.30763654364</v>
      </c>
      <c r="K526" s="248">
        <v>2743274.5788662652</v>
      </c>
      <c r="L526" s="248">
        <v>1110473.4788147549</v>
      </c>
      <c r="M526" s="248">
        <v>0</v>
      </c>
      <c r="N526" s="233">
        <v>0</v>
      </c>
      <c r="O526" s="248">
        <v>10720.820494776612</v>
      </c>
      <c r="P526" s="248">
        <v>4240027.8156168079</v>
      </c>
    </row>
    <row r="527" spans="1:16" x14ac:dyDescent="0.25">
      <c r="A527" s="175">
        <v>1</v>
      </c>
      <c r="B527" s="193"/>
      <c r="C527" s="176"/>
      <c r="D527" s="198"/>
      <c r="E527" s="246"/>
      <c r="F527" s="230"/>
      <c r="G527" s="248"/>
      <c r="H527" s="248"/>
      <c r="I527" s="248"/>
      <c r="J527" s="248"/>
      <c r="K527" s="248"/>
      <c r="L527" s="248"/>
      <c r="M527" s="248"/>
      <c r="N527" s="248"/>
      <c r="O527" s="248"/>
      <c r="P527" s="248"/>
    </row>
    <row r="528" spans="1:16" x14ac:dyDescent="0.25">
      <c r="A528" s="175">
        <v>1</v>
      </c>
      <c r="B528" s="193" t="s">
        <v>1759</v>
      </c>
      <c r="C528" s="176"/>
      <c r="D528" s="198">
        <v>4105</v>
      </c>
      <c r="E528" s="243">
        <v>5.5</v>
      </c>
      <c r="F528" s="195"/>
      <c r="G528" s="248"/>
      <c r="H528" s="248"/>
      <c r="I528" s="248"/>
      <c r="J528" s="248"/>
      <c r="K528" s="248"/>
      <c r="L528" s="248"/>
      <c r="M528" s="248"/>
      <c r="N528" s="233"/>
      <c r="O528" s="248"/>
      <c r="P528" s="248"/>
    </row>
    <row r="529" spans="1:16" x14ac:dyDescent="0.25">
      <c r="A529" s="175">
        <v>1</v>
      </c>
      <c r="B529" s="217" t="s">
        <v>1760</v>
      </c>
      <c r="C529" s="217"/>
      <c r="D529" s="605">
        <v>4105</v>
      </c>
      <c r="E529" s="243">
        <v>10.8</v>
      </c>
      <c r="F529" s="195"/>
      <c r="G529" s="248"/>
      <c r="H529" s="248"/>
      <c r="I529" s="248"/>
      <c r="J529" s="248"/>
      <c r="K529" s="248"/>
      <c r="L529" s="248"/>
      <c r="M529" s="248"/>
      <c r="N529" s="233"/>
      <c r="O529" s="248"/>
      <c r="P529" s="248"/>
    </row>
    <row r="530" spans="1:16" x14ac:dyDescent="0.25">
      <c r="A530" s="175">
        <v>1</v>
      </c>
      <c r="B530" s="217" t="s">
        <v>1760</v>
      </c>
      <c r="C530" s="217"/>
      <c r="D530" s="605">
        <v>4105</v>
      </c>
      <c r="E530" s="597">
        <v>0.76719999999999999</v>
      </c>
      <c r="F530" s="250"/>
      <c r="G530" s="581"/>
      <c r="H530" s="581"/>
      <c r="I530" s="581"/>
      <c r="J530" s="581"/>
      <c r="K530" s="581"/>
      <c r="L530" s="581"/>
      <c r="M530" s="581"/>
      <c r="N530" s="581"/>
      <c r="O530" s="581"/>
      <c r="P530" s="581"/>
    </row>
    <row r="531" spans="1:16" x14ac:dyDescent="0.25">
      <c r="A531" s="175">
        <v>1</v>
      </c>
      <c r="B531" s="217"/>
      <c r="C531" s="217" t="s">
        <v>1761</v>
      </c>
      <c r="D531" s="605"/>
      <c r="E531" s="243">
        <v>17.0672</v>
      </c>
      <c r="F531" s="599"/>
      <c r="G531" s="248"/>
      <c r="H531" s="248"/>
      <c r="I531" s="248"/>
      <c r="J531" s="248"/>
      <c r="K531" s="248"/>
      <c r="L531" s="248"/>
      <c r="M531" s="248"/>
      <c r="N531" s="248"/>
      <c r="O531" s="248"/>
      <c r="P531" s="248"/>
    </row>
    <row r="532" spans="1:16" x14ac:dyDescent="0.25">
      <c r="A532" s="175">
        <v>1</v>
      </c>
      <c r="B532" s="193" t="s">
        <v>43</v>
      </c>
      <c r="C532" s="193"/>
      <c r="D532" s="198">
        <v>4105</v>
      </c>
      <c r="E532" s="246">
        <v>15.4412</v>
      </c>
      <c r="F532" s="195">
        <v>2.3711000000000002</v>
      </c>
      <c r="G532" s="248">
        <v>99284.397573156821</v>
      </c>
      <c r="H532" s="248">
        <v>3495.9604778556595</v>
      </c>
      <c r="I532" s="248">
        <v>3324.6234337065343</v>
      </c>
      <c r="J532" s="248">
        <v>60527.127429907094</v>
      </c>
      <c r="K532" s="248">
        <v>1217166.1564575806</v>
      </c>
      <c r="L532" s="248">
        <v>492707.0539966264</v>
      </c>
      <c r="M532" s="248">
        <v>0</v>
      </c>
      <c r="N532" s="233">
        <v>0</v>
      </c>
      <c r="O532" s="248">
        <v>4756.7312350817529</v>
      </c>
      <c r="P532" s="248">
        <v>1881262.050603915</v>
      </c>
    </row>
    <row r="533" spans="1:16" x14ac:dyDescent="0.25">
      <c r="A533" s="175">
        <v>1</v>
      </c>
      <c r="B533" s="193"/>
      <c r="C533" s="193"/>
      <c r="D533" s="198"/>
      <c r="E533" s="246"/>
      <c r="F533" s="230"/>
      <c r="G533" s="248"/>
      <c r="H533" s="248"/>
      <c r="I533" s="248"/>
      <c r="J533" s="248"/>
      <c r="K533" s="248"/>
      <c r="L533" s="248"/>
      <c r="M533" s="248"/>
      <c r="N533" s="248"/>
      <c r="O533" s="248"/>
      <c r="P533" s="248"/>
    </row>
    <row r="534" spans="1:16" x14ac:dyDescent="0.25">
      <c r="A534" s="175">
        <v>1</v>
      </c>
      <c r="B534" s="193" t="s">
        <v>44</v>
      </c>
      <c r="C534" s="193"/>
      <c r="D534" s="605">
        <v>4105</v>
      </c>
      <c r="E534" s="246">
        <v>20.684000000000001</v>
      </c>
      <c r="F534" s="195">
        <v>2.3711000000000002</v>
      </c>
      <c r="G534" s="248">
        <v>132994.74648363961</v>
      </c>
      <c r="H534" s="248">
        <v>4682.9551151443193</v>
      </c>
      <c r="I534" s="248">
        <v>4453.4434566475366</v>
      </c>
      <c r="J534" s="248">
        <v>81078.096505465801</v>
      </c>
      <c r="K534" s="248">
        <v>1630434.4727202936</v>
      </c>
      <c r="L534" s="248">
        <v>659997.45517616649</v>
      </c>
      <c r="M534" s="248">
        <v>0</v>
      </c>
      <c r="N534" s="233">
        <v>0</v>
      </c>
      <c r="O534" s="248">
        <v>6371.7993981316849</v>
      </c>
      <c r="P534" s="248">
        <v>2520012.968855489</v>
      </c>
    </row>
    <row r="535" spans="1:16" x14ac:dyDescent="0.25">
      <c r="A535" s="175">
        <v>1</v>
      </c>
      <c r="B535" s="193" t="s">
        <v>44</v>
      </c>
      <c r="C535" s="193"/>
      <c r="D535" s="605">
        <v>4105</v>
      </c>
      <c r="E535" s="618">
        <v>0.56818181818181823</v>
      </c>
      <c r="F535" s="602">
        <v>323.1995</v>
      </c>
      <c r="G535" s="581">
        <v>3653.3164216642976</v>
      </c>
      <c r="H535" s="581">
        <v>128.6390423412563</v>
      </c>
      <c r="I535" s="581">
        <v>122.33444209862304</v>
      </c>
      <c r="J535" s="581">
        <v>0</v>
      </c>
      <c r="K535" s="581">
        <v>0</v>
      </c>
      <c r="L535" s="581">
        <v>0</v>
      </c>
      <c r="M535" s="581">
        <v>70025.998086247753</v>
      </c>
      <c r="N535" s="581">
        <v>284104.3144379672</v>
      </c>
      <c r="O535" s="581">
        <v>175.03096920906384</v>
      </c>
      <c r="P535" s="581">
        <v>358209.63339952816</v>
      </c>
    </row>
    <row r="536" spans="1:16" x14ac:dyDescent="0.25">
      <c r="A536" s="175">
        <v>1</v>
      </c>
      <c r="B536" s="217"/>
      <c r="C536" s="217" t="s">
        <v>1762</v>
      </c>
      <c r="D536" s="605"/>
      <c r="E536" s="243">
        <v>21.252181818181818</v>
      </c>
      <c r="F536" s="221">
        <v>325.57060000000001</v>
      </c>
      <c r="G536" s="248">
        <v>136648.0629053039</v>
      </c>
      <c r="H536" s="248">
        <v>4811.5941574855751</v>
      </c>
      <c r="I536" s="248">
        <v>4575.7778987461597</v>
      </c>
      <c r="J536" s="248">
        <v>81078.096505465801</v>
      </c>
      <c r="K536" s="248">
        <v>1630434.4727202936</v>
      </c>
      <c r="L536" s="248">
        <v>659997.45517616649</v>
      </c>
      <c r="M536" s="248">
        <v>70025.998086247753</v>
      </c>
      <c r="N536" s="248">
        <v>284104.3144379672</v>
      </c>
      <c r="O536" s="248">
        <v>6546.830367340749</v>
      </c>
      <c r="P536" s="248">
        <v>2878222.602255017</v>
      </c>
    </row>
    <row r="537" spans="1:16" x14ac:dyDescent="0.25">
      <c r="A537" s="175">
        <v>1</v>
      </c>
      <c r="B537" s="193"/>
      <c r="C537" s="193"/>
      <c r="D537" s="198"/>
      <c r="E537" s="246"/>
      <c r="F537" s="230"/>
      <c r="G537" s="248"/>
      <c r="H537" s="248"/>
      <c r="I537" s="248"/>
      <c r="J537" s="248"/>
      <c r="K537" s="248"/>
      <c r="L537" s="248"/>
      <c r="M537" s="248"/>
      <c r="N537" s="248"/>
      <c r="O537" s="248"/>
      <c r="P537" s="248"/>
    </row>
    <row r="538" spans="1:16" x14ac:dyDescent="0.25">
      <c r="A538" s="175">
        <v>1</v>
      </c>
      <c r="B538" s="193" t="s">
        <v>45</v>
      </c>
      <c r="C538" s="193"/>
      <c r="D538" s="198">
        <v>4105</v>
      </c>
      <c r="E538" s="246">
        <v>27.463000000000005</v>
      </c>
      <c r="F538" s="195">
        <v>2.3711000000000002</v>
      </c>
      <c r="G538" s="248">
        <v>176582.61084317323</v>
      </c>
      <c r="H538" s="248">
        <v>6217.7526748795426</v>
      </c>
      <c r="I538" s="248">
        <v>5913.0205787038931</v>
      </c>
      <c r="J538" s="248">
        <v>107650.7331429901</v>
      </c>
      <c r="K538" s="248">
        <v>2164795.1036703456</v>
      </c>
      <c r="L538" s="248">
        <v>876305.84565379331</v>
      </c>
      <c r="M538" s="248">
        <v>0</v>
      </c>
      <c r="N538" s="233">
        <v>0</v>
      </c>
      <c r="O538" s="248">
        <v>8460.1008930037933</v>
      </c>
      <c r="P538" s="248">
        <v>3345925.1674568895</v>
      </c>
    </row>
    <row r="539" spans="1:16" x14ac:dyDescent="0.25">
      <c r="A539" s="175">
        <v>1</v>
      </c>
      <c r="B539" s="193"/>
      <c r="C539" s="193"/>
      <c r="D539" s="198"/>
      <c r="E539" s="246"/>
      <c r="F539" s="230"/>
      <c r="G539" s="248"/>
      <c r="H539" s="248"/>
      <c r="I539" s="248"/>
      <c r="J539" s="248"/>
      <c r="K539" s="248"/>
      <c r="L539" s="248"/>
      <c r="M539" s="248"/>
      <c r="N539" s="248"/>
      <c r="O539" s="248"/>
      <c r="P539" s="248"/>
    </row>
    <row r="540" spans="1:16" x14ac:dyDescent="0.25">
      <c r="A540" s="175">
        <v>1</v>
      </c>
      <c r="B540" s="193" t="s">
        <v>46</v>
      </c>
      <c r="C540" s="193"/>
      <c r="D540" s="198">
        <v>4105</v>
      </c>
      <c r="E540" s="246">
        <v>2.6516000000000002</v>
      </c>
      <c r="F540" s="195">
        <v>2.3711000000000002</v>
      </c>
      <c r="G540" s="248">
        <v>17049.355529685687</v>
      </c>
      <c r="H540" s="248">
        <v>600.33474102285231</v>
      </c>
      <c r="I540" s="248">
        <v>570.91233173692751</v>
      </c>
      <c r="J540" s="248">
        <v>10393.863889668008</v>
      </c>
      <c r="K540" s="248">
        <v>209014.69966472301</v>
      </c>
      <c r="L540" s="248">
        <v>84608.840270021421</v>
      </c>
      <c r="M540" s="248">
        <v>0</v>
      </c>
      <c r="N540" s="233">
        <v>0</v>
      </c>
      <c r="O540" s="248">
        <v>816.83732760036628</v>
      </c>
      <c r="P540" s="248">
        <v>323054.84375445824</v>
      </c>
    </row>
    <row r="541" spans="1:16" x14ac:dyDescent="0.25">
      <c r="A541" s="175">
        <v>1</v>
      </c>
      <c r="B541" s="193"/>
      <c r="C541" s="193"/>
      <c r="D541" s="198"/>
      <c r="E541" s="246"/>
      <c r="F541" s="230"/>
      <c r="G541" s="248"/>
      <c r="H541" s="248"/>
      <c r="I541" s="248"/>
      <c r="J541" s="248"/>
      <c r="K541" s="248"/>
      <c r="L541" s="248"/>
      <c r="M541" s="248"/>
      <c r="N541" s="248"/>
      <c r="O541" s="248"/>
      <c r="P541" s="248"/>
    </row>
    <row r="542" spans="1:16" x14ac:dyDescent="0.25">
      <c r="A542" s="175">
        <v>1</v>
      </c>
      <c r="B542" s="193" t="s">
        <v>47</v>
      </c>
      <c r="C542" s="193"/>
      <c r="D542" s="198">
        <v>4105</v>
      </c>
      <c r="E542" s="243">
        <v>15.742615151515153</v>
      </c>
      <c r="F542" s="195">
        <v>2.3711000000000002</v>
      </c>
      <c r="G542" s="248">
        <v>101222.4478372298</v>
      </c>
      <c r="H542" s="248">
        <v>3564.2022891866345</v>
      </c>
      <c r="I542" s="248">
        <v>3389.5207134517277</v>
      </c>
      <c r="J542" s="248">
        <v>61708.628432747704</v>
      </c>
      <c r="K542" s="248">
        <v>1240925.4705955866</v>
      </c>
      <c r="L542" s="248">
        <v>502324.7891035467</v>
      </c>
      <c r="M542" s="248">
        <v>0</v>
      </c>
      <c r="N542" s="233">
        <v>0</v>
      </c>
      <c r="O542" s="248">
        <v>4849.5835306247818</v>
      </c>
      <c r="P542" s="248">
        <v>1917984.642502374</v>
      </c>
    </row>
    <row r="543" spans="1:16" x14ac:dyDescent="0.25">
      <c r="A543" s="175">
        <v>1</v>
      </c>
      <c r="B543" s="217"/>
      <c r="C543" s="217"/>
      <c r="D543" s="605"/>
      <c r="E543" s="243"/>
      <c r="F543" s="221"/>
      <c r="G543" s="584"/>
      <c r="H543" s="584"/>
      <c r="I543" s="584"/>
      <c r="J543" s="584"/>
      <c r="K543" s="584"/>
      <c r="L543" s="584"/>
      <c r="M543" s="584"/>
      <c r="N543" s="584"/>
      <c r="O543" s="584"/>
      <c r="P543" s="584"/>
    </row>
    <row r="544" spans="1:16" x14ac:dyDescent="0.25">
      <c r="A544" s="175">
        <v>1</v>
      </c>
      <c r="B544" s="234" t="s">
        <v>48</v>
      </c>
      <c r="C544" s="217"/>
      <c r="D544" s="605">
        <v>4105</v>
      </c>
      <c r="E544" s="243">
        <v>16.706780303030303</v>
      </c>
      <c r="F544" s="195">
        <v>2.3711000000000002</v>
      </c>
      <c r="G544" s="248">
        <v>107421.87250818887</v>
      </c>
      <c r="H544" s="248">
        <v>3782.4938250661439</v>
      </c>
      <c r="I544" s="248">
        <v>3597.1137798384389</v>
      </c>
      <c r="J544" s="248">
        <v>65488.007431091952</v>
      </c>
      <c r="K544" s="248">
        <v>1316926.6357679849</v>
      </c>
      <c r="L544" s="248">
        <v>533089.94798816973</v>
      </c>
      <c r="M544" s="248">
        <v>0</v>
      </c>
      <c r="N544" s="233">
        <v>0</v>
      </c>
      <c r="O544" s="248">
        <v>5146.5989498920317</v>
      </c>
      <c r="P544" s="248">
        <v>2035452.6702502321</v>
      </c>
    </row>
    <row r="545" spans="1:16" x14ac:dyDescent="0.25">
      <c r="A545" s="175">
        <v>1</v>
      </c>
      <c r="B545" s="234" t="s">
        <v>48</v>
      </c>
      <c r="C545" s="217"/>
      <c r="D545" s="605">
        <v>4105</v>
      </c>
      <c r="E545" s="597">
        <v>0.24229999999999999</v>
      </c>
      <c r="F545" s="602">
        <v>323.1995</v>
      </c>
      <c r="G545" s="581">
        <v>1557.949481385896</v>
      </c>
      <c r="H545" s="581">
        <v>54.857862328344069</v>
      </c>
      <c r="I545" s="581">
        <v>52.169278164073589</v>
      </c>
      <c r="J545" s="581">
        <v>0</v>
      </c>
      <c r="K545" s="581">
        <v>0</v>
      </c>
      <c r="L545" s="581">
        <v>0</v>
      </c>
      <c r="M545" s="581">
        <v>29862.446831884175</v>
      </c>
      <c r="N545" s="581">
        <v>121155.7166834422</v>
      </c>
      <c r="O545" s="581">
        <v>74.641606757266842</v>
      </c>
      <c r="P545" s="581">
        <v>152757.78174396197</v>
      </c>
    </row>
    <row r="546" spans="1:16" x14ac:dyDescent="0.25">
      <c r="A546" s="175">
        <v>1</v>
      </c>
      <c r="B546" s="217"/>
      <c r="C546" s="217" t="s">
        <v>50</v>
      </c>
      <c r="D546" s="605"/>
      <c r="E546" s="243">
        <v>16.949080303030303</v>
      </c>
      <c r="F546" s="599">
        <v>325.57060000000001</v>
      </c>
      <c r="G546" s="248">
        <v>108979.82198957476</v>
      </c>
      <c r="H546" s="248">
        <v>3837.3516873944882</v>
      </c>
      <c r="I546" s="248">
        <v>3649.2830580025125</v>
      </c>
      <c r="J546" s="248">
        <v>65488.007431091952</v>
      </c>
      <c r="K546" s="248">
        <v>1316926.6357679849</v>
      </c>
      <c r="L546" s="248">
        <v>533089.94798816973</v>
      </c>
      <c r="M546" s="248">
        <v>29862.446831884175</v>
      </c>
      <c r="N546" s="248">
        <v>121155.7166834422</v>
      </c>
      <c r="O546" s="248">
        <v>5221.2405566492989</v>
      </c>
      <c r="P546" s="248">
        <v>2188210.4519941942</v>
      </c>
    </row>
    <row r="547" spans="1:16" x14ac:dyDescent="0.25">
      <c r="A547" s="175">
        <v>1</v>
      </c>
      <c r="B547" s="217"/>
      <c r="C547" s="217"/>
      <c r="D547" s="605"/>
      <c r="E547" s="243"/>
      <c r="F547" s="221"/>
      <c r="G547" s="584"/>
      <c r="H547" s="584"/>
      <c r="I547" s="584"/>
      <c r="J547" s="584"/>
      <c r="K547" s="584"/>
      <c r="L547" s="584"/>
      <c r="M547" s="584"/>
      <c r="N547" s="584"/>
      <c r="O547" s="584"/>
      <c r="P547" s="584"/>
    </row>
    <row r="548" spans="1:16" x14ac:dyDescent="0.25">
      <c r="A548" s="175">
        <v>1</v>
      </c>
      <c r="B548" s="217" t="s">
        <v>1763</v>
      </c>
      <c r="C548" s="217"/>
      <c r="D548" s="198">
        <v>4105</v>
      </c>
      <c r="E548" s="246">
        <v>16.543500000000002</v>
      </c>
      <c r="F548" s="195">
        <v>2.3711000000000002</v>
      </c>
      <c r="G548" s="248">
        <v>106372.00679037381</v>
      </c>
      <c r="H548" s="248">
        <v>3745.5263946717296</v>
      </c>
      <c r="I548" s="248">
        <v>3561.9581234310835</v>
      </c>
      <c r="J548" s="248">
        <v>64847.97377384323</v>
      </c>
      <c r="K548" s="248">
        <v>1304055.9224254582</v>
      </c>
      <c r="L548" s="248">
        <v>527879.90232580306</v>
      </c>
      <c r="M548" s="248">
        <v>0</v>
      </c>
      <c r="N548" s="233">
        <v>0</v>
      </c>
      <c r="O548" s="248">
        <v>5096.2997168338588</v>
      </c>
      <c r="P548" s="248">
        <v>2015559.5895504148</v>
      </c>
    </row>
    <row r="549" spans="1:16" x14ac:dyDescent="0.25">
      <c r="A549" s="175">
        <v>1</v>
      </c>
      <c r="B549" s="217"/>
      <c r="C549" s="217"/>
      <c r="D549" s="605"/>
      <c r="E549" s="243"/>
      <c r="F549" s="221"/>
      <c r="G549" s="584"/>
      <c r="H549" s="584"/>
      <c r="I549" s="584"/>
      <c r="J549" s="584"/>
      <c r="K549" s="584"/>
      <c r="L549" s="584"/>
      <c r="M549" s="584"/>
      <c r="N549" s="584"/>
      <c r="O549" s="584"/>
      <c r="P549" s="584"/>
    </row>
    <row r="550" spans="1:16" x14ac:dyDescent="0.25">
      <c r="A550" s="175">
        <v>1</v>
      </c>
      <c r="B550" s="217"/>
      <c r="C550" s="217"/>
      <c r="D550" s="605"/>
      <c r="E550" s="243"/>
      <c r="F550" s="221"/>
      <c r="G550" s="584"/>
      <c r="H550" s="584"/>
      <c r="I550" s="584"/>
      <c r="J550" s="584"/>
      <c r="K550" s="584"/>
      <c r="L550" s="584"/>
      <c r="M550" s="584"/>
      <c r="N550" s="584"/>
      <c r="O550" s="584"/>
      <c r="P550" s="584"/>
    </row>
    <row r="551" spans="1:16" x14ac:dyDescent="0.25">
      <c r="A551" s="175">
        <v>1</v>
      </c>
      <c r="B551" s="217" t="s">
        <v>1764</v>
      </c>
      <c r="C551" s="217"/>
      <c r="D551" s="605">
        <v>4105</v>
      </c>
      <c r="E551" s="243">
        <v>6.2</v>
      </c>
      <c r="F551" s="195">
        <v>2.3711000000000002</v>
      </c>
      <c r="G551" s="248">
        <v>39864.988793200806</v>
      </c>
      <c r="H551" s="248">
        <v>1403.7092300277886</v>
      </c>
      <c r="I551" s="248">
        <v>1334.9134321801746</v>
      </c>
      <c r="J551" s="248">
        <v>24303.045751976792</v>
      </c>
      <c r="K551" s="248">
        <v>488720.44724742894</v>
      </c>
      <c r="L551" s="248">
        <v>197833.31183969404</v>
      </c>
      <c r="M551" s="248">
        <v>0</v>
      </c>
      <c r="N551" s="233">
        <v>0</v>
      </c>
      <c r="O551" s="248">
        <v>1909.9379360093042</v>
      </c>
      <c r="P551" s="248">
        <v>755370.35423051775</v>
      </c>
    </row>
    <row r="552" spans="1:16" x14ac:dyDescent="0.25">
      <c r="A552" s="175">
        <v>1</v>
      </c>
      <c r="B552" s="217" t="s">
        <v>1764</v>
      </c>
      <c r="C552" s="217"/>
      <c r="D552" s="605">
        <v>4105</v>
      </c>
      <c r="E552" s="597">
        <v>0.64810000000000001</v>
      </c>
      <c r="F552" s="602">
        <v>323.1995</v>
      </c>
      <c r="G552" s="581">
        <v>4167.1772962699106</v>
      </c>
      <c r="H552" s="581">
        <v>146.73289548080803</v>
      </c>
      <c r="I552" s="581">
        <v>139.54151538644695</v>
      </c>
      <c r="J552" s="581">
        <v>0</v>
      </c>
      <c r="K552" s="581">
        <v>0</v>
      </c>
      <c r="L552" s="581">
        <v>0</v>
      </c>
      <c r="M552" s="581">
        <v>79875.574873067002</v>
      </c>
      <c r="N552" s="581">
        <v>324065.29088955384</v>
      </c>
      <c r="O552" s="581">
        <v>199.65012521413391</v>
      </c>
      <c r="P552" s="581">
        <v>408593.96759497211</v>
      </c>
    </row>
    <row r="553" spans="1:16" x14ac:dyDescent="0.25">
      <c r="A553" s="175">
        <v>1</v>
      </c>
      <c r="B553" s="217"/>
      <c r="C553" s="217" t="s">
        <v>1765</v>
      </c>
      <c r="D553" s="605"/>
      <c r="E553" s="243">
        <v>6.8481000000000005</v>
      </c>
      <c r="F553" s="599">
        <v>325.57060000000001</v>
      </c>
      <c r="G553" s="248">
        <v>44032.166089470717</v>
      </c>
      <c r="H553" s="248">
        <v>1550.4421255085967</v>
      </c>
      <c r="I553" s="248">
        <v>1474.4549475666215</v>
      </c>
      <c r="J553" s="248">
        <v>24303.045751976792</v>
      </c>
      <c r="K553" s="248">
        <v>488720.44724742894</v>
      </c>
      <c r="L553" s="248">
        <v>197833.31183969404</v>
      </c>
      <c r="M553" s="248">
        <v>79875.574873067002</v>
      </c>
      <c r="N553" s="248">
        <v>324065.29088955384</v>
      </c>
      <c r="O553" s="248">
        <v>2109.5880612234382</v>
      </c>
      <c r="P553" s="248">
        <v>1163964.3218254899</v>
      </c>
    </row>
    <row r="554" spans="1:16" x14ac:dyDescent="0.25">
      <c r="A554" s="175">
        <v>1</v>
      </c>
      <c r="B554" s="217"/>
      <c r="C554" s="217"/>
      <c r="D554" s="605"/>
      <c r="E554" s="243"/>
      <c r="F554" s="221"/>
      <c r="G554" s="584"/>
      <c r="H554" s="584"/>
      <c r="I554" s="584"/>
      <c r="J554" s="584"/>
      <c r="K554" s="584"/>
      <c r="L554" s="584"/>
      <c r="M554" s="584"/>
      <c r="N554" s="584"/>
      <c r="O554" s="584"/>
      <c r="P554" s="584"/>
    </row>
    <row r="555" spans="1:16" x14ac:dyDescent="0.25">
      <c r="A555" s="175">
        <v>1</v>
      </c>
      <c r="B555" s="217" t="s">
        <v>1766</v>
      </c>
      <c r="C555" s="217"/>
      <c r="D555" s="605">
        <v>4105</v>
      </c>
      <c r="E555" s="243">
        <v>10.8</v>
      </c>
      <c r="F555" s="195">
        <v>2.3711000000000002</v>
      </c>
      <c r="G555" s="248">
        <v>69442.23854299495</v>
      </c>
      <c r="H555" s="248">
        <v>2445.1709168225998</v>
      </c>
      <c r="I555" s="248">
        <v>2325.3330754106269</v>
      </c>
      <c r="J555" s="248">
        <v>42334.337761507952</v>
      </c>
      <c r="K555" s="248">
        <v>851319.48875358584</v>
      </c>
      <c r="L555" s="248">
        <v>344612.86578527355</v>
      </c>
      <c r="M555" s="248">
        <v>0</v>
      </c>
      <c r="N555" s="233">
        <v>0</v>
      </c>
      <c r="O555" s="248">
        <v>3326.9886627258848</v>
      </c>
      <c r="P555" s="248">
        <v>1315806.4234983213</v>
      </c>
    </row>
    <row r="556" spans="1:16" x14ac:dyDescent="0.25">
      <c r="A556" s="175">
        <v>1</v>
      </c>
      <c r="B556" s="217" t="s">
        <v>1766</v>
      </c>
      <c r="C556" s="217"/>
      <c r="D556" s="605">
        <v>4105</v>
      </c>
      <c r="E556" s="597">
        <v>0.76719999999999999</v>
      </c>
      <c r="F556" s="602">
        <v>323.1995</v>
      </c>
      <c r="G556" s="581">
        <v>4932.9708713134933</v>
      </c>
      <c r="H556" s="581">
        <v>173.69769698021284</v>
      </c>
      <c r="I556" s="581">
        <v>165.18477180139192</v>
      </c>
      <c r="J556" s="581">
        <v>0</v>
      </c>
      <c r="K556" s="581">
        <v>0</v>
      </c>
      <c r="L556" s="581">
        <v>0</v>
      </c>
      <c r="M556" s="581">
        <v>94554.144487913916</v>
      </c>
      <c r="N556" s="581">
        <v>383618.10086478275</v>
      </c>
      <c r="O556" s="581">
        <v>236.33941685586103</v>
      </c>
      <c r="P556" s="581">
        <v>483680.43810964766</v>
      </c>
    </row>
    <row r="557" spans="1:16" x14ac:dyDescent="0.25">
      <c r="A557" s="175">
        <v>1</v>
      </c>
      <c r="B557" s="217"/>
      <c r="C557" s="217" t="s">
        <v>1767</v>
      </c>
      <c r="D557" s="605"/>
      <c r="E557" s="243">
        <v>11.567200000000001</v>
      </c>
      <c r="F557" s="599">
        <v>325.57060000000001</v>
      </c>
      <c r="G557" s="248">
        <v>74375.20941430844</v>
      </c>
      <c r="H557" s="248">
        <v>2618.8686138028124</v>
      </c>
      <c r="I557" s="248">
        <v>2490.5178472120188</v>
      </c>
      <c r="J557" s="248">
        <v>42334.337761507952</v>
      </c>
      <c r="K557" s="248">
        <v>851319.48875358584</v>
      </c>
      <c r="L557" s="248">
        <v>344612.86578527355</v>
      </c>
      <c r="M557" s="248">
        <v>94554.144487913916</v>
      </c>
      <c r="N557" s="248">
        <v>383618.10086478275</v>
      </c>
      <c r="O557" s="248">
        <v>3563.3280795817459</v>
      </c>
      <c r="P557" s="248">
        <v>1799486.861607969</v>
      </c>
    </row>
    <row r="558" spans="1:16" x14ac:dyDescent="0.25">
      <c r="A558" s="175">
        <v>1</v>
      </c>
      <c r="B558" s="217"/>
      <c r="C558" s="217"/>
      <c r="D558" s="605"/>
      <c r="E558" s="243"/>
      <c r="F558" s="195"/>
      <c r="G558" s="248"/>
      <c r="H558" s="248"/>
      <c r="I558" s="248"/>
      <c r="J558" s="248"/>
      <c r="K558" s="248"/>
      <c r="L558" s="248"/>
      <c r="M558" s="248"/>
      <c r="N558" s="233"/>
      <c r="O558" s="248"/>
      <c r="P558" s="248"/>
    </row>
    <row r="559" spans="1:16" x14ac:dyDescent="0.25">
      <c r="A559" s="175">
        <v>1</v>
      </c>
      <c r="B559" s="217" t="s">
        <v>52</v>
      </c>
      <c r="C559" s="217"/>
      <c r="D559" s="198">
        <v>4105</v>
      </c>
      <c r="E559" s="243">
        <v>15.9056</v>
      </c>
      <c r="F559" s="195">
        <v>2.3711000000000002</v>
      </c>
      <c r="G559" s="248">
        <v>102270.4138305056</v>
      </c>
      <c r="H559" s="248">
        <v>3601.1028272790318</v>
      </c>
      <c r="I559" s="248">
        <v>3424.6127559491911</v>
      </c>
      <c r="J559" s="248">
        <v>62347.503953651933</v>
      </c>
      <c r="K559" s="248">
        <v>1253772.8944739848</v>
      </c>
      <c r="L559" s="248">
        <v>507525.40722539317</v>
      </c>
      <c r="M559" s="248">
        <v>0</v>
      </c>
      <c r="N559" s="233">
        <v>0</v>
      </c>
      <c r="O559" s="248">
        <v>4899.7917475789654</v>
      </c>
      <c r="P559" s="248">
        <v>1937841.7268143427</v>
      </c>
    </row>
    <row r="560" spans="1:16" x14ac:dyDescent="0.25">
      <c r="A560" s="175">
        <v>1</v>
      </c>
      <c r="B560" s="217"/>
      <c r="C560" s="217"/>
      <c r="D560" s="605"/>
      <c r="E560" s="243"/>
      <c r="F560" s="221"/>
      <c r="G560" s="584"/>
      <c r="H560" s="584"/>
      <c r="I560" s="584"/>
      <c r="J560" s="584"/>
      <c r="K560" s="584"/>
      <c r="L560" s="584"/>
      <c r="M560" s="584"/>
      <c r="N560" s="584"/>
      <c r="O560" s="584"/>
      <c r="P560" s="584"/>
    </row>
    <row r="561" spans="1:16" x14ac:dyDescent="0.25">
      <c r="A561" s="175">
        <v>1</v>
      </c>
      <c r="B561" s="217" t="s">
        <v>54</v>
      </c>
      <c r="C561" s="217"/>
      <c r="D561" s="198">
        <v>4105</v>
      </c>
      <c r="E561" s="243">
        <v>3.4165999999999999</v>
      </c>
      <c r="F561" s="195">
        <v>2.3711000000000002</v>
      </c>
      <c r="G561" s="248">
        <v>21968.180759814491</v>
      </c>
      <c r="H561" s="248">
        <v>773.53434763111977</v>
      </c>
      <c r="I561" s="248">
        <v>735.62342457851355</v>
      </c>
      <c r="J561" s="248">
        <v>13392.546147774821</v>
      </c>
      <c r="K561" s="248">
        <v>269316.49678476865</v>
      </c>
      <c r="L561" s="248">
        <v>109018.91826314495</v>
      </c>
      <c r="M561" s="248">
        <v>0</v>
      </c>
      <c r="N561" s="233">
        <v>0</v>
      </c>
      <c r="O561" s="248">
        <v>1052.4990245434497</v>
      </c>
      <c r="P561" s="248">
        <v>416257.79875225603</v>
      </c>
    </row>
    <row r="562" spans="1:16" x14ac:dyDescent="0.25">
      <c r="A562" s="175">
        <v>1</v>
      </c>
      <c r="B562" s="217"/>
      <c r="C562" s="217"/>
      <c r="D562" s="605"/>
      <c r="E562" s="243"/>
      <c r="F562" s="221"/>
      <c r="G562" s="584"/>
      <c r="H562" s="584"/>
      <c r="I562" s="584"/>
      <c r="J562" s="584"/>
      <c r="K562" s="584"/>
      <c r="L562" s="584"/>
      <c r="M562" s="584"/>
      <c r="N562" s="584"/>
      <c r="O562" s="584"/>
      <c r="P562" s="584"/>
    </row>
    <row r="563" spans="1:16" x14ac:dyDescent="0.25">
      <c r="A563" s="175">
        <v>1</v>
      </c>
      <c r="B563" s="217"/>
      <c r="C563" s="217"/>
      <c r="D563" s="605"/>
      <c r="E563" s="606"/>
      <c r="F563" s="221"/>
      <c r="G563" s="593"/>
      <c r="H563" s="593"/>
      <c r="I563" s="593"/>
      <c r="J563" s="593"/>
      <c r="K563" s="593"/>
      <c r="L563" s="593"/>
      <c r="M563" s="593"/>
      <c r="N563" s="593"/>
      <c r="O563" s="593"/>
      <c r="P563" s="593"/>
    </row>
    <row r="564" spans="1:16" x14ac:dyDescent="0.25">
      <c r="A564" s="175">
        <v>1</v>
      </c>
      <c r="B564" s="217" t="s">
        <v>55</v>
      </c>
      <c r="C564" s="217"/>
      <c r="D564" s="198">
        <v>4105</v>
      </c>
      <c r="E564" s="243">
        <v>16.93789090909091</v>
      </c>
      <c r="F564" s="195">
        <v>2.3711000000000002</v>
      </c>
      <c r="G564" s="248">
        <v>108907.87601151079</v>
      </c>
      <c r="H564" s="248">
        <v>3834.8183558539808</v>
      </c>
      <c r="I564" s="248">
        <v>3646.8738850561172</v>
      </c>
      <c r="J564" s="248">
        <v>66393.925436391641</v>
      </c>
      <c r="K564" s="248">
        <v>1335144.1323417856</v>
      </c>
      <c r="L564" s="248">
        <v>540464.3635685324</v>
      </c>
      <c r="M564" s="248">
        <v>0</v>
      </c>
      <c r="N564" s="233">
        <v>0</v>
      </c>
      <c r="O564" s="248">
        <v>5217.7936134290076</v>
      </c>
      <c r="P564" s="248">
        <v>2063609.7832125595</v>
      </c>
    </row>
    <row r="565" spans="1:16" x14ac:dyDescent="0.25">
      <c r="A565" s="175">
        <v>1</v>
      </c>
      <c r="B565" s="217" t="s">
        <v>55</v>
      </c>
      <c r="C565" s="217"/>
      <c r="D565" s="605">
        <v>4106</v>
      </c>
      <c r="E565" s="597">
        <v>0</v>
      </c>
      <c r="F565" s="602">
        <v>37.0779</v>
      </c>
      <c r="G565" s="581">
        <v>0</v>
      </c>
      <c r="H565" s="581">
        <v>0</v>
      </c>
      <c r="I565" s="581">
        <v>0</v>
      </c>
      <c r="J565" s="581">
        <v>0</v>
      </c>
      <c r="K565" s="581">
        <v>0</v>
      </c>
      <c r="L565" s="581">
        <v>0</v>
      </c>
      <c r="M565" s="581">
        <v>0</v>
      </c>
      <c r="N565" s="581">
        <v>0</v>
      </c>
      <c r="O565" s="581">
        <v>0</v>
      </c>
      <c r="P565" s="581">
        <v>0</v>
      </c>
    </row>
    <row r="566" spans="1:16" x14ac:dyDescent="0.25">
      <c r="A566" s="175">
        <v>1</v>
      </c>
      <c r="B566" s="217"/>
      <c r="C566" s="217" t="s">
        <v>56</v>
      </c>
      <c r="D566" s="605"/>
      <c r="E566" s="243">
        <v>16.93789090909091</v>
      </c>
      <c r="F566" s="599">
        <v>39.448999999999998</v>
      </c>
      <c r="G566" s="248">
        <v>108907.87601151079</v>
      </c>
      <c r="H566" s="248">
        <v>3834.8183558539808</v>
      </c>
      <c r="I566" s="248">
        <v>3646.8738850561172</v>
      </c>
      <c r="J566" s="248">
        <v>66393.925436391641</v>
      </c>
      <c r="K566" s="248">
        <v>1335144.1323417856</v>
      </c>
      <c r="L566" s="248">
        <v>540464.3635685324</v>
      </c>
      <c r="M566" s="248">
        <v>0</v>
      </c>
      <c r="N566" s="248">
        <v>0</v>
      </c>
      <c r="O566" s="248">
        <v>5217.7936134290076</v>
      </c>
      <c r="P566" s="248">
        <v>2063609.7832125595</v>
      </c>
    </row>
    <row r="567" spans="1:16" x14ac:dyDescent="0.25">
      <c r="A567" s="175">
        <v>1</v>
      </c>
      <c r="B567" s="217"/>
      <c r="C567" s="217"/>
      <c r="D567" s="605"/>
      <c r="E567" s="606"/>
      <c r="F567" s="221"/>
      <c r="G567" s="593"/>
      <c r="H567" s="593"/>
      <c r="I567" s="593"/>
      <c r="J567" s="593"/>
      <c r="K567" s="593"/>
      <c r="L567" s="593"/>
      <c r="M567" s="593"/>
      <c r="N567" s="593"/>
      <c r="O567" s="593"/>
      <c r="P567" s="593"/>
    </row>
    <row r="568" spans="1:16" x14ac:dyDescent="0.25">
      <c r="A568" s="175">
        <v>1</v>
      </c>
      <c r="B568" s="217" t="s">
        <v>57</v>
      </c>
      <c r="C568" s="217"/>
      <c r="D568" s="198">
        <v>4105</v>
      </c>
      <c r="E568" s="243">
        <v>27.996186363636362</v>
      </c>
      <c r="F568" s="195">
        <v>2.3711000000000002</v>
      </c>
      <c r="G568" s="248">
        <v>180010.91219979431</v>
      </c>
      <c r="H568" s="248">
        <v>6338.4685813249152</v>
      </c>
      <c r="I568" s="248">
        <v>6027.8201978447769</v>
      </c>
      <c r="J568" s="248">
        <v>109740.74162521341</v>
      </c>
      <c r="K568" s="248">
        <v>2206823.9872352798</v>
      </c>
      <c r="L568" s="248">
        <v>893319.07535475213</v>
      </c>
      <c r="M568" s="248">
        <v>0</v>
      </c>
      <c r="N568" s="233">
        <v>0</v>
      </c>
      <c r="O568" s="248">
        <v>8624.351354757333</v>
      </c>
      <c r="P568" s="248">
        <v>3410885.3565489668</v>
      </c>
    </row>
    <row r="569" spans="1:16" x14ac:dyDescent="0.25">
      <c r="A569" s="175">
        <v>1</v>
      </c>
      <c r="B569" s="217" t="s">
        <v>57</v>
      </c>
      <c r="C569" s="217"/>
      <c r="D569" s="605">
        <v>4106</v>
      </c>
      <c r="E569" s="597">
        <v>0</v>
      </c>
      <c r="F569" s="602">
        <v>37.0779</v>
      </c>
      <c r="G569" s="581">
        <v>0</v>
      </c>
      <c r="H569" s="581">
        <v>0</v>
      </c>
      <c r="I569" s="581">
        <v>0</v>
      </c>
      <c r="J569" s="581">
        <v>0</v>
      </c>
      <c r="K569" s="581">
        <v>0</v>
      </c>
      <c r="L569" s="581">
        <v>0</v>
      </c>
      <c r="M569" s="581">
        <v>0</v>
      </c>
      <c r="N569" s="581">
        <v>0</v>
      </c>
      <c r="O569" s="581">
        <v>0</v>
      </c>
      <c r="P569" s="581">
        <v>0</v>
      </c>
    </row>
    <row r="570" spans="1:16" x14ac:dyDescent="0.25">
      <c r="A570" s="175">
        <v>1</v>
      </c>
      <c r="B570" s="217"/>
      <c r="C570" s="217" t="s">
        <v>58</v>
      </c>
      <c r="D570" s="605"/>
      <c r="E570" s="243">
        <v>27.996186363636362</v>
      </c>
      <c r="F570" s="599">
        <v>39.448999999999998</v>
      </c>
      <c r="G570" s="248">
        <v>180010.91219979431</v>
      </c>
      <c r="H570" s="248">
        <v>6338.4685813249152</v>
      </c>
      <c r="I570" s="248">
        <v>6027.8201978447769</v>
      </c>
      <c r="J570" s="248">
        <v>109740.74162521341</v>
      </c>
      <c r="K570" s="248">
        <v>2206823.9872352798</v>
      </c>
      <c r="L570" s="248">
        <v>893319.07535475213</v>
      </c>
      <c r="M570" s="248">
        <v>0</v>
      </c>
      <c r="N570" s="248">
        <v>0</v>
      </c>
      <c r="O570" s="248">
        <v>8624.351354757333</v>
      </c>
      <c r="P570" s="248">
        <v>3410885.3565489668</v>
      </c>
    </row>
    <row r="571" spans="1:16" x14ac:dyDescent="0.25">
      <c r="A571" s="175">
        <v>1</v>
      </c>
      <c r="B571" s="217"/>
      <c r="C571" s="217"/>
      <c r="D571" s="605"/>
      <c r="E571" s="606"/>
      <c r="F571" s="221"/>
      <c r="G571" s="593"/>
      <c r="H571" s="593"/>
      <c r="I571" s="593"/>
      <c r="J571" s="593"/>
      <c r="K571" s="593"/>
      <c r="L571" s="593"/>
      <c r="M571" s="593"/>
      <c r="N571" s="593"/>
      <c r="O571" s="593"/>
      <c r="P571" s="593"/>
    </row>
    <row r="572" spans="1:16" x14ac:dyDescent="0.25">
      <c r="A572" s="175">
        <v>1</v>
      </c>
      <c r="B572" s="217" t="s">
        <v>59</v>
      </c>
      <c r="C572" s="217"/>
      <c r="D572" s="198">
        <v>4105</v>
      </c>
      <c r="E572" s="243">
        <v>9.8106621212121201</v>
      </c>
      <c r="F572" s="195">
        <v>2.3711000000000002</v>
      </c>
      <c r="G572" s="248">
        <v>63080.95734129045</v>
      </c>
      <c r="H572" s="248">
        <v>2221.1801568112028</v>
      </c>
      <c r="I572" s="248">
        <v>2112.3201039011778</v>
      </c>
      <c r="J572" s="248">
        <v>38456.285546613515</v>
      </c>
      <c r="K572" s="248">
        <v>773334.06123745115</v>
      </c>
      <c r="L572" s="248">
        <v>313044.48044832773</v>
      </c>
      <c r="M572" s="248">
        <v>0</v>
      </c>
      <c r="N572" s="233">
        <v>0</v>
      </c>
      <c r="O572" s="248">
        <v>3022.2186713987962</v>
      </c>
      <c r="P572" s="248">
        <v>1195271.5035057939</v>
      </c>
    </row>
    <row r="573" spans="1:16" x14ac:dyDescent="0.25">
      <c r="A573" s="175">
        <v>1</v>
      </c>
      <c r="B573" s="217" t="s">
        <v>59</v>
      </c>
      <c r="C573" s="217"/>
      <c r="D573" s="605">
        <v>4106</v>
      </c>
      <c r="E573" s="597">
        <v>0.15849999999999986</v>
      </c>
      <c r="F573" s="602">
        <v>37.0779</v>
      </c>
      <c r="G573" s="581">
        <v>1303.1386957310858</v>
      </c>
      <c r="H573" s="581">
        <v>0</v>
      </c>
      <c r="I573" s="581">
        <v>0</v>
      </c>
      <c r="J573" s="581">
        <v>2.2533327537907577</v>
      </c>
      <c r="K573" s="581">
        <v>11882.863657866697</v>
      </c>
      <c r="L573" s="581">
        <v>10764.51129119838</v>
      </c>
      <c r="M573" s="581">
        <v>0</v>
      </c>
      <c r="N573" s="581">
        <v>0</v>
      </c>
      <c r="O573" s="581">
        <v>0</v>
      </c>
      <c r="P573" s="581">
        <v>23952.766977549953</v>
      </c>
    </row>
    <row r="574" spans="1:16" x14ac:dyDescent="0.25">
      <c r="A574" s="175">
        <v>1</v>
      </c>
      <c r="B574" s="217"/>
      <c r="C574" s="217" t="s">
        <v>60</v>
      </c>
      <c r="D574" s="605"/>
      <c r="E574" s="243">
        <v>9.9691621212121202</v>
      </c>
      <c r="F574" s="599">
        <v>39.448999999999998</v>
      </c>
      <c r="G574" s="587">
        <v>64384.096037021533</v>
      </c>
      <c r="H574" s="587">
        <v>2221.1801568112028</v>
      </c>
      <c r="I574" s="587">
        <v>2112.3201039011778</v>
      </c>
      <c r="J574" s="587">
        <v>38458.538879367305</v>
      </c>
      <c r="K574" s="587">
        <v>785216.92489531788</v>
      </c>
      <c r="L574" s="587">
        <v>323808.9917395261</v>
      </c>
      <c r="M574" s="587">
        <v>0</v>
      </c>
      <c r="N574" s="587">
        <v>0</v>
      </c>
      <c r="O574" s="587">
        <v>3022.2186713987962</v>
      </c>
      <c r="P574" s="587">
        <v>1219224.2704833439</v>
      </c>
    </row>
    <row r="575" spans="1:16" x14ac:dyDescent="0.25">
      <c r="A575" s="175">
        <v>1</v>
      </c>
      <c r="B575" s="217"/>
      <c r="C575" s="217"/>
      <c r="D575" s="605"/>
      <c r="E575" s="606"/>
      <c r="F575" s="221"/>
      <c r="G575" s="593"/>
      <c r="H575" s="593"/>
      <c r="I575" s="593"/>
      <c r="J575" s="593"/>
      <c r="K575" s="593"/>
      <c r="L575" s="593"/>
      <c r="M575" s="593"/>
      <c r="N575" s="593"/>
      <c r="O575" s="593"/>
      <c r="P575" s="593"/>
    </row>
    <row r="576" spans="1:16" x14ac:dyDescent="0.25">
      <c r="A576" s="175">
        <v>1</v>
      </c>
      <c r="B576" s="234" t="s">
        <v>1768</v>
      </c>
      <c r="C576" s="217"/>
      <c r="D576" s="198">
        <v>4105</v>
      </c>
      <c r="E576" s="243">
        <v>39.445999999999998</v>
      </c>
      <c r="F576" s="195">
        <v>2.3711000000000002</v>
      </c>
      <c r="G576" s="248">
        <v>253631.34644138691</v>
      </c>
      <c r="H576" s="248">
        <v>8930.7603689800235</v>
      </c>
      <c r="I576" s="248">
        <v>8493.0637493192207</v>
      </c>
      <c r="J576" s="248">
        <v>154622.24882781875</v>
      </c>
      <c r="K576" s="248">
        <v>3109365.6067938837</v>
      </c>
      <c r="L576" s="248">
        <v>1258666.5836820276</v>
      </c>
      <c r="M576" s="248">
        <v>0</v>
      </c>
      <c r="N576" s="233">
        <v>0</v>
      </c>
      <c r="O576" s="248">
        <v>12151.518036100484</v>
      </c>
      <c r="P576" s="248">
        <v>4805861.1278995164</v>
      </c>
    </row>
    <row r="577" spans="1:16" x14ac:dyDescent="0.25">
      <c r="A577" s="175">
        <v>1</v>
      </c>
      <c r="B577" s="234" t="s">
        <v>1768</v>
      </c>
      <c r="C577" s="217"/>
      <c r="D577" s="605">
        <v>4132</v>
      </c>
      <c r="E577" s="597">
        <v>1.8808</v>
      </c>
      <c r="F577" s="196">
        <v>3.7956000000000003</v>
      </c>
      <c r="G577" s="581">
        <v>1558.9887575086941</v>
      </c>
      <c r="H577" s="581">
        <v>0</v>
      </c>
      <c r="I577" s="581">
        <v>0</v>
      </c>
      <c r="J577" s="581">
        <v>29979.12745284013</v>
      </c>
      <c r="K577" s="581">
        <v>0</v>
      </c>
      <c r="L577" s="581">
        <v>18461.863625250291</v>
      </c>
      <c r="M577" s="581">
        <v>0</v>
      </c>
      <c r="N577" s="581">
        <v>0</v>
      </c>
      <c r="O577" s="581">
        <v>20215.027292654653</v>
      </c>
      <c r="P577" s="581">
        <v>70215.007128253768</v>
      </c>
    </row>
    <row r="578" spans="1:16" x14ac:dyDescent="0.25">
      <c r="A578" s="175">
        <v>1</v>
      </c>
      <c r="B578" s="217"/>
      <c r="C578" s="217" t="s">
        <v>1769</v>
      </c>
      <c r="D578" s="605"/>
      <c r="E578" s="243">
        <v>41.326799999999999</v>
      </c>
      <c r="F578" s="599">
        <v>6.1667000000000005</v>
      </c>
      <c r="G578" s="248">
        <v>255190.3351988956</v>
      </c>
      <c r="H578" s="248">
        <v>8930.7603689800235</v>
      </c>
      <c r="I578" s="248">
        <v>8493.0637493192207</v>
      </c>
      <c r="J578" s="248">
        <v>184601.37628065888</v>
      </c>
      <c r="K578" s="248">
        <v>3109365.6067938837</v>
      </c>
      <c r="L578" s="248">
        <v>1277128.4473072779</v>
      </c>
      <c r="M578" s="248">
        <v>0</v>
      </c>
      <c r="N578" s="248">
        <v>0</v>
      </c>
      <c r="O578" s="248">
        <v>32366.545328755135</v>
      </c>
      <c r="P578" s="248">
        <v>4876076.13502777</v>
      </c>
    </row>
    <row r="579" spans="1:16" x14ac:dyDescent="0.25">
      <c r="A579" s="175">
        <v>1</v>
      </c>
      <c r="B579" s="217"/>
      <c r="C579" s="217"/>
      <c r="D579" s="605"/>
      <c r="E579" s="606"/>
      <c r="F579" s="221"/>
      <c r="G579" s="593"/>
      <c r="H579" s="593"/>
      <c r="I579" s="593"/>
      <c r="J579" s="593"/>
      <c r="K579" s="593"/>
      <c r="L579" s="593"/>
      <c r="M579" s="593"/>
      <c r="N579" s="593"/>
      <c r="O579" s="593"/>
      <c r="P579" s="593"/>
    </row>
    <row r="580" spans="1:16" x14ac:dyDescent="0.25">
      <c r="A580" s="175">
        <v>1</v>
      </c>
      <c r="B580" s="217" t="s">
        <v>61</v>
      </c>
      <c r="C580" s="217"/>
      <c r="D580" s="198">
        <v>4105</v>
      </c>
      <c r="E580" s="243">
        <v>15.1213</v>
      </c>
      <c r="F580" s="195">
        <v>2.3711000000000002</v>
      </c>
      <c r="G580" s="248">
        <v>97227.492748165707</v>
      </c>
      <c r="H580" s="248">
        <v>3423.5336096805158</v>
      </c>
      <c r="I580" s="248">
        <v>3255.7462067783986</v>
      </c>
      <c r="J580" s="248">
        <v>59273.168666026875</v>
      </c>
      <c r="K580" s="248">
        <v>1191949.7578971849</v>
      </c>
      <c r="L580" s="248">
        <v>482499.49327767186</v>
      </c>
      <c r="M580" s="248">
        <v>0</v>
      </c>
      <c r="N580" s="233">
        <v>0</v>
      </c>
      <c r="O580" s="248">
        <v>4658.1845986737881</v>
      </c>
      <c r="P580" s="248">
        <v>1842287.3770041822</v>
      </c>
    </row>
    <row r="581" spans="1:16" x14ac:dyDescent="0.25">
      <c r="A581" s="175">
        <v>1</v>
      </c>
      <c r="B581" s="217"/>
      <c r="C581" s="217"/>
      <c r="D581" s="605"/>
      <c r="E581" s="606"/>
      <c r="F581" s="221"/>
      <c r="G581" s="593"/>
      <c r="H581" s="593"/>
      <c r="I581" s="593"/>
      <c r="J581" s="593"/>
      <c r="K581" s="593"/>
      <c r="L581" s="593"/>
      <c r="M581" s="593"/>
      <c r="N581" s="593"/>
      <c r="O581" s="593"/>
      <c r="P581" s="593"/>
    </row>
    <row r="582" spans="1:16" x14ac:dyDescent="0.25">
      <c r="A582" s="175">
        <v>1</v>
      </c>
      <c r="B582" s="217" t="s">
        <v>62</v>
      </c>
      <c r="C582" s="217"/>
      <c r="D582" s="198">
        <v>4105</v>
      </c>
      <c r="E582" s="243">
        <v>19.930099999999999</v>
      </c>
      <c r="F582" s="195">
        <v>2.3711000000000002</v>
      </c>
      <c r="G582" s="248">
        <v>128147.29244312442</v>
      </c>
      <c r="H582" s="248">
        <v>4512.2686008672308</v>
      </c>
      <c r="I582" s="248">
        <v>4291.122289466789</v>
      </c>
      <c r="J582" s="248">
        <v>78122.924538947191</v>
      </c>
      <c r="K582" s="248">
        <v>1571007.6428525778</v>
      </c>
      <c r="L582" s="248">
        <v>635941.56262843334</v>
      </c>
      <c r="M582" s="248">
        <v>0</v>
      </c>
      <c r="N582" s="233">
        <v>0</v>
      </c>
      <c r="O582" s="248">
        <v>6139.5571062030695</v>
      </c>
      <c r="P582" s="248">
        <v>2428162.3704596194</v>
      </c>
    </row>
    <row r="583" spans="1:16" x14ac:dyDescent="0.25">
      <c r="A583" s="175">
        <v>1</v>
      </c>
      <c r="B583" s="217"/>
      <c r="C583" s="217"/>
      <c r="D583" s="605"/>
      <c r="E583" s="606"/>
      <c r="F583" s="221"/>
      <c r="G583" s="593"/>
      <c r="H583" s="593"/>
      <c r="I583" s="593"/>
      <c r="J583" s="593"/>
      <c r="K583" s="593"/>
      <c r="L583" s="593"/>
      <c r="M583" s="593"/>
      <c r="N583" s="593"/>
      <c r="O583" s="593"/>
      <c r="P583" s="593"/>
    </row>
    <row r="584" spans="1:16" x14ac:dyDescent="0.25">
      <c r="A584" s="175">
        <v>1</v>
      </c>
      <c r="B584" s="217" t="s">
        <v>63</v>
      </c>
      <c r="C584" s="217"/>
      <c r="D584" s="198">
        <v>4105</v>
      </c>
      <c r="E584" s="243">
        <v>13.2957</v>
      </c>
      <c r="F584" s="195">
        <v>2.3711000000000002</v>
      </c>
      <c r="G584" s="248">
        <v>85489.1824996387</v>
      </c>
      <c r="H584" s="248">
        <v>3010.2091628516887</v>
      </c>
      <c r="I584" s="248">
        <v>2862.6787935867656</v>
      </c>
      <c r="J584" s="248">
        <v>52117.097645896421</v>
      </c>
      <c r="K584" s="248">
        <v>1048045.2339463936</v>
      </c>
      <c r="L584" s="248">
        <v>424247.15552048711</v>
      </c>
      <c r="M584" s="248">
        <v>0</v>
      </c>
      <c r="N584" s="233">
        <v>0</v>
      </c>
      <c r="O584" s="248">
        <v>4095.8002928707911</v>
      </c>
      <c r="P584" s="248">
        <v>1619867.3578617249</v>
      </c>
    </row>
    <row r="585" spans="1:16" x14ac:dyDescent="0.25">
      <c r="A585" s="175">
        <v>1</v>
      </c>
      <c r="B585" s="217"/>
      <c r="C585" s="217"/>
      <c r="D585" s="605"/>
      <c r="E585" s="606"/>
      <c r="F585" s="221"/>
      <c r="G585" s="593"/>
      <c r="H585" s="593"/>
      <c r="I585" s="593"/>
      <c r="J585" s="593"/>
      <c r="K585" s="593"/>
      <c r="L585" s="593"/>
      <c r="M585" s="593"/>
      <c r="N585" s="593"/>
      <c r="O585" s="593"/>
      <c r="P585" s="593"/>
    </row>
    <row r="586" spans="1:16" x14ac:dyDescent="0.25">
      <c r="A586" s="175">
        <v>1</v>
      </c>
      <c r="B586" s="217" t="s">
        <v>64</v>
      </c>
      <c r="C586" s="217"/>
      <c r="D586" s="198">
        <v>4105</v>
      </c>
      <c r="E586" s="243">
        <v>9.3978666666666655</v>
      </c>
      <c r="F586" s="195">
        <v>2.3711000000000002</v>
      </c>
      <c r="G586" s="248">
        <v>60426.74989462291</v>
      </c>
      <c r="H586" s="248">
        <v>2127.7213197694332</v>
      </c>
      <c r="I586" s="248">
        <v>2023.4416850276862</v>
      </c>
      <c r="J586" s="248">
        <v>36838.190898544766</v>
      </c>
      <c r="K586" s="248">
        <v>740795.09685565112</v>
      </c>
      <c r="L586" s="248">
        <v>299872.75595073105</v>
      </c>
      <c r="M586" s="248">
        <v>0</v>
      </c>
      <c r="N586" s="233">
        <v>0</v>
      </c>
      <c r="O586" s="248">
        <v>2895.0551716490272</v>
      </c>
      <c r="P586" s="248">
        <v>1144979.0117759958</v>
      </c>
    </row>
    <row r="587" spans="1:16" x14ac:dyDescent="0.25">
      <c r="A587" s="175">
        <v>1</v>
      </c>
      <c r="B587" s="217"/>
      <c r="C587" s="217"/>
      <c r="D587" s="605"/>
      <c r="E587" s="606"/>
      <c r="F587" s="221"/>
      <c r="G587" s="593"/>
      <c r="H587" s="593"/>
      <c r="I587" s="593"/>
      <c r="J587" s="593"/>
      <c r="K587" s="593"/>
      <c r="L587" s="593"/>
      <c r="M587" s="593"/>
      <c r="N587" s="593"/>
      <c r="O587" s="593"/>
      <c r="P587" s="593"/>
    </row>
    <row r="588" spans="1:16" x14ac:dyDescent="0.25">
      <c r="A588" s="175">
        <v>1</v>
      </c>
      <c r="B588" s="217" t="s">
        <v>65</v>
      </c>
      <c r="C588" s="217"/>
      <c r="D588" s="198">
        <v>4105</v>
      </c>
      <c r="E588" s="243">
        <v>27.993281818181813</v>
      </c>
      <c r="F588" s="195">
        <v>2.3711000000000002</v>
      </c>
      <c r="G588" s="248">
        <v>179992.23644624674</v>
      </c>
      <c r="H588" s="248">
        <v>6337.8109785404658</v>
      </c>
      <c r="I588" s="248">
        <v>6027.1948241767677</v>
      </c>
      <c r="J588" s="248">
        <v>109729.35625407301</v>
      </c>
      <c r="K588" s="248">
        <v>2206595.0338879251</v>
      </c>
      <c r="L588" s="248">
        <v>893226.39537948393</v>
      </c>
      <c r="M588" s="248">
        <v>0</v>
      </c>
      <c r="N588" s="233">
        <v>0</v>
      </c>
      <c r="O588" s="248">
        <v>8623.4565964427329</v>
      </c>
      <c r="P588" s="248">
        <v>3410531.4843668886</v>
      </c>
    </row>
    <row r="589" spans="1:16" x14ac:dyDescent="0.25">
      <c r="A589" s="175">
        <v>1</v>
      </c>
      <c r="B589" s="217"/>
      <c r="C589" s="217"/>
      <c r="D589" s="605"/>
      <c r="E589" s="606"/>
      <c r="F589" s="221"/>
      <c r="G589" s="593"/>
      <c r="H589" s="593"/>
      <c r="I589" s="593"/>
      <c r="J589" s="593"/>
      <c r="K589" s="593"/>
      <c r="L589" s="593"/>
      <c r="M589" s="593"/>
      <c r="N589" s="593"/>
      <c r="O589" s="593"/>
      <c r="P589" s="593"/>
    </row>
    <row r="590" spans="1:16" x14ac:dyDescent="0.25">
      <c r="A590" s="175">
        <v>1</v>
      </c>
      <c r="B590" s="217" t="s">
        <v>66</v>
      </c>
      <c r="C590" s="217"/>
      <c r="D590" s="198">
        <v>4105</v>
      </c>
      <c r="E590" s="243">
        <v>49.398499999999999</v>
      </c>
      <c r="F590" s="195">
        <v>2.3711000000000002</v>
      </c>
      <c r="G590" s="248">
        <v>317624.29820982739</v>
      </c>
      <c r="H590" s="248">
        <v>11184.053290246406</v>
      </c>
      <c r="I590" s="248">
        <v>10635.92277089554</v>
      </c>
      <c r="J590" s="248">
        <v>193634.51702887504</v>
      </c>
      <c r="K590" s="248">
        <v>3893880.1634438895</v>
      </c>
      <c r="L590" s="248">
        <v>1576236.9120827622</v>
      </c>
      <c r="M590" s="248">
        <v>0</v>
      </c>
      <c r="N590" s="233">
        <v>0</v>
      </c>
      <c r="O590" s="248">
        <v>15217.430505154129</v>
      </c>
      <c r="P590" s="248">
        <v>6018413.2973316498</v>
      </c>
    </row>
    <row r="591" spans="1:16" x14ac:dyDescent="0.25">
      <c r="A591" s="175">
        <v>1</v>
      </c>
      <c r="B591" s="217" t="s">
        <v>66</v>
      </c>
      <c r="C591" s="217"/>
      <c r="D591" s="605">
        <v>4132</v>
      </c>
      <c r="E591" s="597">
        <v>1.8977999999999999</v>
      </c>
      <c r="F591" s="196">
        <v>3.7956000000000003</v>
      </c>
      <c r="G591" s="581">
        <v>1573.08</v>
      </c>
      <c r="H591" s="581">
        <v>0</v>
      </c>
      <c r="I591" s="581">
        <v>0</v>
      </c>
      <c r="J591" s="581">
        <v>30250.1</v>
      </c>
      <c r="K591" s="581">
        <v>0</v>
      </c>
      <c r="L591" s="581">
        <v>18628.734999999997</v>
      </c>
      <c r="M591" s="581">
        <v>0</v>
      </c>
      <c r="N591" s="581">
        <v>0</v>
      </c>
      <c r="O591" s="581">
        <v>20397.744999999999</v>
      </c>
      <c r="P591" s="581">
        <v>70849.659999999989</v>
      </c>
    </row>
    <row r="592" spans="1:16" x14ac:dyDescent="0.25">
      <c r="A592" s="175">
        <v>1</v>
      </c>
      <c r="B592" s="217"/>
      <c r="C592" s="217" t="s">
        <v>67</v>
      </c>
      <c r="D592" s="605"/>
      <c r="E592" s="243">
        <v>51.296299999999995</v>
      </c>
      <c r="F592" s="599">
        <v>6.1667000000000005</v>
      </c>
      <c r="G592" s="587">
        <v>319197.37820982741</v>
      </c>
      <c r="H592" s="587">
        <v>11184.053290246406</v>
      </c>
      <c r="I592" s="587">
        <v>10635.92277089554</v>
      </c>
      <c r="J592" s="587">
        <v>223884.61702887504</v>
      </c>
      <c r="K592" s="587">
        <v>3893880.1634438895</v>
      </c>
      <c r="L592" s="587">
        <v>1594865.6470827623</v>
      </c>
      <c r="M592" s="587">
        <v>0</v>
      </c>
      <c r="N592" s="587">
        <v>0</v>
      </c>
      <c r="O592" s="587">
        <v>35615.175505154126</v>
      </c>
      <c r="P592" s="587">
        <v>6089262.95733165</v>
      </c>
    </row>
    <row r="593" spans="1:16" x14ac:dyDescent="0.25">
      <c r="A593" s="175">
        <v>1</v>
      </c>
      <c r="B593" s="217"/>
      <c r="C593" s="217"/>
      <c r="D593" s="605"/>
      <c r="E593" s="606"/>
      <c r="F593" s="221"/>
      <c r="G593" s="593"/>
      <c r="H593" s="593"/>
      <c r="I593" s="593"/>
      <c r="J593" s="593"/>
      <c r="K593" s="593"/>
      <c r="L593" s="593"/>
      <c r="M593" s="593"/>
      <c r="N593" s="593"/>
      <c r="O593" s="593"/>
      <c r="P593" s="593"/>
    </row>
    <row r="594" spans="1:16" x14ac:dyDescent="0.25">
      <c r="A594" s="175">
        <v>1</v>
      </c>
      <c r="B594" s="217" t="s">
        <v>68</v>
      </c>
      <c r="C594" s="217"/>
      <c r="D594" s="198">
        <v>4105</v>
      </c>
      <c r="E594" s="243">
        <v>15.337986363636363</v>
      </c>
      <c r="F594" s="195">
        <v>2.3711000000000002</v>
      </c>
      <c r="G594" s="248">
        <v>98620.750725262973</v>
      </c>
      <c r="H594" s="248">
        <v>3472.5924239801166</v>
      </c>
      <c r="I594" s="248">
        <v>3302.4006482926666</v>
      </c>
      <c r="J594" s="248">
        <v>60122.545861072686</v>
      </c>
      <c r="K594" s="248">
        <v>1209030.2508889239</v>
      </c>
      <c r="L594" s="248">
        <v>489413.65149520122</v>
      </c>
      <c r="M594" s="248">
        <v>0</v>
      </c>
      <c r="N594" s="233">
        <v>0</v>
      </c>
      <c r="O594" s="248">
        <v>4724.9358093391102</v>
      </c>
      <c r="P594" s="248">
        <v>1868687.1278520727</v>
      </c>
    </row>
    <row r="595" spans="1:16" x14ac:dyDescent="0.25">
      <c r="A595" s="175">
        <v>1</v>
      </c>
      <c r="B595" s="217"/>
      <c r="C595" s="217"/>
      <c r="D595" s="605"/>
      <c r="E595" s="606"/>
      <c r="F595" s="221"/>
      <c r="G595" s="593"/>
      <c r="H595" s="593"/>
      <c r="I595" s="593"/>
      <c r="J595" s="593"/>
      <c r="K595" s="593"/>
      <c r="L595" s="593"/>
      <c r="M595" s="593"/>
      <c r="N595" s="593"/>
      <c r="O595" s="593"/>
      <c r="P595" s="593"/>
    </row>
    <row r="596" spans="1:16" x14ac:dyDescent="0.25">
      <c r="A596" s="175">
        <v>1</v>
      </c>
      <c r="B596" s="234" t="s">
        <v>69</v>
      </c>
      <c r="C596" s="217"/>
      <c r="D596" s="605">
        <v>4105</v>
      </c>
      <c r="E596" s="243">
        <v>15.768899999999999</v>
      </c>
      <c r="F596" s="195">
        <v>2.3711000000000002</v>
      </c>
      <c r="G596" s="248">
        <v>101391.45512598453</v>
      </c>
      <c r="H596" s="248">
        <v>3570.1533028040635</v>
      </c>
      <c r="I596" s="248">
        <v>3395.1800678557984</v>
      </c>
      <c r="J596" s="248">
        <v>61811.66099328173</v>
      </c>
      <c r="K596" s="248">
        <v>1242997.3968709647</v>
      </c>
      <c r="L596" s="248">
        <v>503163.50178531476</v>
      </c>
      <c r="M596" s="248">
        <v>0</v>
      </c>
      <c r="N596" s="233">
        <v>0</v>
      </c>
      <c r="O596" s="248">
        <v>4857.6806966350177</v>
      </c>
      <c r="P596" s="248">
        <v>1921187.0288428403</v>
      </c>
    </row>
    <row r="597" spans="1:16" x14ac:dyDescent="0.25">
      <c r="A597" s="175">
        <v>1</v>
      </c>
      <c r="B597" s="234" t="s">
        <v>69</v>
      </c>
      <c r="C597" s="217"/>
      <c r="D597" s="605">
        <v>4105</v>
      </c>
      <c r="E597" s="597">
        <v>0.62449999999999994</v>
      </c>
      <c r="F597" s="602">
        <v>323.1995</v>
      </c>
      <c r="G597" s="581">
        <v>4015.4331453796617</v>
      </c>
      <c r="H597" s="581">
        <v>141.38974421812159</v>
      </c>
      <c r="I597" s="581">
        <v>134.46023199943852</v>
      </c>
      <c r="J597" s="581">
        <v>0</v>
      </c>
      <c r="K597" s="581">
        <v>0</v>
      </c>
      <c r="L597" s="581">
        <v>0</v>
      </c>
      <c r="M597" s="581">
        <v>76966.975016556607</v>
      </c>
      <c r="N597" s="581">
        <v>312264.73408505839</v>
      </c>
      <c r="O597" s="581">
        <v>1.4113645292811765</v>
      </c>
      <c r="P597" s="581">
        <v>393524.40358774149</v>
      </c>
    </row>
    <row r="598" spans="1:16" x14ac:dyDescent="0.25">
      <c r="A598" s="175">
        <v>1</v>
      </c>
      <c r="B598" s="217"/>
      <c r="C598" s="217" t="s">
        <v>70</v>
      </c>
      <c r="D598" s="605"/>
      <c r="E598" s="243">
        <v>16.3934</v>
      </c>
      <c r="F598" s="221">
        <v>325.57060000000001</v>
      </c>
      <c r="G598" s="248">
        <v>105406.88827136419</v>
      </c>
      <c r="H598" s="248">
        <v>3711.543047022185</v>
      </c>
      <c r="I598" s="248">
        <v>3529.6402998552367</v>
      </c>
      <c r="J598" s="248">
        <v>61811.66099328173</v>
      </c>
      <c r="K598" s="248">
        <v>1242997.3968709647</v>
      </c>
      <c r="L598" s="248">
        <v>503163.50178531476</v>
      </c>
      <c r="M598" s="248">
        <v>76966.975016556607</v>
      </c>
      <c r="N598" s="248">
        <v>312264.73408505839</v>
      </c>
      <c r="O598" s="248">
        <v>4859.0920611642987</v>
      </c>
      <c r="P598" s="248">
        <v>2314711.4324305817</v>
      </c>
    </row>
    <row r="599" spans="1:16" x14ac:dyDescent="0.25">
      <c r="A599" s="175">
        <v>1</v>
      </c>
      <c r="B599" s="217"/>
      <c r="C599" s="217"/>
      <c r="D599" s="605"/>
      <c r="E599" s="606"/>
      <c r="F599" s="221"/>
      <c r="G599" s="593"/>
      <c r="H599" s="593"/>
      <c r="I599" s="593"/>
      <c r="J599" s="593"/>
      <c r="K599" s="593"/>
      <c r="L599" s="593"/>
      <c r="M599" s="593"/>
      <c r="N599" s="593"/>
      <c r="O599" s="593"/>
      <c r="P599" s="593"/>
    </row>
    <row r="600" spans="1:16" x14ac:dyDescent="0.25">
      <c r="A600" s="175">
        <v>1</v>
      </c>
      <c r="B600" s="234" t="s">
        <v>830</v>
      </c>
      <c r="C600" s="217"/>
      <c r="D600" s="198">
        <v>4105</v>
      </c>
      <c r="E600" s="243">
        <v>14.571857575757575</v>
      </c>
      <c r="F600" s="195">
        <v>2.3711000000000002</v>
      </c>
      <c r="G600" s="248">
        <v>93694.667573176441</v>
      </c>
      <c r="H600" s="248">
        <v>3299.1372544743977</v>
      </c>
      <c r="I600" s="248">
        <v>3137.4465176927774</v>
      </c>
      <c r="J600" s="248">
        <v>57119.438928213851</v>
      </c>
      <c r="K600" s="248">
        <v>1148639.4760725931</v>
      </c>
      <c r="L600" s="248">
        <v>464967.55546265427</v>
      </c>
      <c r="M600" s="248">
        <v>0</v>
      </c>
      <c r="N600" s="233">
        <v>0</v>
      </c>
      <c r="O600" s="248">
        <v>4488.9263842038645</v>
      </c>
      <c r="P600" s="248">
        <v>1775346.6481930087</v>
      </c>
    </row>
    <row r="601" spans="1:16" x14ac:dyDescent="0.25">
      <c r="A601" s="175">
        <v>1</v>
      </c>
      <c r="B601" s="217"/>
      <c r="C601" s="217"/>
      <c r="D601" s="605"/>
      <c r="E601" s="606"/>
      <c r="F601" s="221"/>
      <c r="G601" s="593"/>
      <c r="H601" s="593"/>
      <c r="I601" s="593"/>
      <c r="J601" s="593"/>
      <c r="K601" s="593"/>
      <c r="L601" s="593"/>
      <c r="M601" s="593"/>
      <c r="N601" s="593"/>
      <c r="O601" s="593"/>
      <c r="P601" s="593"/>
    </row>
    <row r="602" spans="1:16" x14ac:dyDescent="0.25">
      <c r="A602" s="175">
        <v>1</v>
      </c>
      <c r="B602" s="217" t="s">
        <v>71</v>
      </c>
      <c r="C602" s="217"/>
      <c r="D602" s="198">
        <v>4105</v>
      </c>
      <c r="E602" s="280">
        <v>5.0209999999999999</v>
      </c>
      <c r="F602" s="195">
        <v>2.3711000000000002</v>
      </c>
      <c r="G602" s="233">
        <v>32284.211085590523</v>
      </c>
      <c r="H602" s="233">
        <v>1136.7780716079883</v>
      </c>
      <c r="I602" s="233">
        <v>1081.0645714478478</v>
      </c>
      <c r="J602" s="233">
        <v>19681.547213012171</v>
      </c>
      <c r="K602" s="233">
        <v>395784.73639182909</v>
      </c>
      <c r="L602" s="233">
        <v>160213.07399146835</v>
      </c>
      <c r="M602" s="233">
        <v>0</v>
      </c>
      <c r="N602" s="233">
        <v>0</v>
      </c>
      <c r="O602" s="233">
        <v>1546.7416736617283</v>
      </c>
      <c r="P602" s="233">
        <v>611728.15299861773</v>
      </c>
    </row>
    <row r="603" spans="1:16" x14ac:dyDescent="0.25">
      <c r="A603" s="175">
        <v>1</v>
      </c>
      <c r="B603" s="217"/>
      <c r="C603" s="217"/>
      <c r="D603" s="605"/>
      <c r="E603" s="606"/>
      <c r="F603" s="221"/>
      <c r="G603" s="593"/>
      <c r="H603" s="593"/>
      <c r="I603" s="593"/>
      <c r="J603" s="593"/>
      <c r="K603" s="593"/>
      <c r="L603" s="593"/>
      <c r="M603" s="593"/>
      <c r="N603" s="593"/>
      <c r="O603" s="593"/>
      <c r="P603" s="593"/>
    </row>
    <row r="604" spans="1:16" x14ac:dyDescent="0.25">
      <c r="A604" s="175">
        <v>1</v>
      </c>
      <c r="B604" s="217"/>
      <c r="C604" s="217"/>
      <c r="D604" s="605"/>
      <c r="E604" s="606"/>
      <c r="F604" s="221"/>
      <c r="G604" s="593"/>
      <c r="H604" s="593"/>
      <c r="I604" s="593"/>
      <c r="J604" s="593"/>
      <c r="K604" s="593"/>
      <c r="L604" s="593"/>
      <c r="M604" s="593"/>
      <c r="N604" s="593"/>
      <c r="O604" s="593"/>
      <c r="P604" s="593"/>
    </row>
    <row r="605" spans="1:16" x14ac:dyDescent="0.25">
      <c r="A605" s="175">
        <v>1</v>
      </c>
      <c r="B605" s="217" t="s">
        <v>1770</v>
      </c>
      <c r="C605" s="217"/>
      <c r="D605" s="605">
        <v>4105</v>
      </c>
      <c r="E605" s="243">
        <v>5.7</v>
      </c>
      <c r="F605" s="195"/>
      <c r="G605" s="248"/>
      <c r="H605" s="248"/>
      <c r="I605" s="248"/>
      <c r="J605" s="248"/>
      <c r="K605" s="248"/>
      <c r="L605" s="248"/>
      <c r="M605" s="248"/>
      <c r="N605" s="233"/>
      <c r="O605" s="248"/>
      <c r="P605" s="248"/>
    </row>
    <row r="606" spans="1:16" x14ac:dyDescent="0.25">
      <c r="A606" s="175">
        <v>1</v>
      </c>
      <c r="B606" s="217" t="s">
        <v>1770</v>
      </c>
      <c r="C606" s="217"/>
      <c r="D606" s="605">
        <v>4105</v>
      </c>
      <c r="E606" s="597">
        <v>0.64810000000000001</v>
      </c>
      <c r="F606" s="250"/>
      <c r="G606" s="581"/>
      <c r="H606" s="581"/>
      <c r="I606" s="581"/>
      <c r="J606" s="581"/>
      <c r="K606" s="581"/>
      <c r="L606" s="581"/>
      <c r="M606" s="581"/>
      <c r="N606" s="581"/>
      <c r="O606" s="581"/>
      <c r="P606" s="581"/>
    </row>
    <row r="607" spans="1:16" x14ac:dyDescent="0.25">
      <c r="A607" s="175">
        <v>1</v>
      </c>
      <c r="B607" s="217"/>
      <c r="C607" s="217" t="s">
        <v>1771</v>
      </c>
      <c r="D607" s="605"/>
      <c r="E607" s="243">
        <v>6.3481000000000005</v>
      </c>
      <c r="F607" s="599"/>
      <c r="G607" s="248"/>
      <c r="H607" s="248"/>
      <c r="I607" s="248"/>
      <c r="J607" s="248"/>
      <c r="K607" s="248"/>
      <c r="L607" s="248"/>
      <c r="M607" s="248"/>
      <c r="N607" s="248"/>
      <c r="O607" s="248"/>
      <c r="P607" s="248"/>
    </row>
    <row r="608" spans="1:16" x14ac:dyDescent="0.25">
      <c r="A608" s="175">
        <v>1</v>
      </c>
      <c r="B608" s="217" t="s">
        <v>1772</v>
      </c>
      <c r="C608" s="217"/>
      <c r="D608" s="198">
        <v>4105</v>
      </c>
      <c r="E608" s="243">
        <v>19.14</v>
      </c>
      <c r="F608" s="195"/>
      <c r="G608" s="248"/>
      <c r="H608" s="248"/>
      <c r="I608" s="248"/>
      <c r="J608" s="248"/>
      <c r="K608" s="248"/>
      <c r="L608" s="248"/>
      <c r="M608" s="248"/>
      <c r="N608" s="233"/>
      <c r="O608" s="248"/>
      <c r="P608" s="248"/>
    </row>
    <row r="609" spans="1:16" x14ac:dyDescent="0.25">
      <c r="A609" s="175">
        <v>1</v>
      </c>
      <c r="B609" s="217" t="s">
        <v>51</v>
      </c>
      <c r="C609" s="217"/>
      <c r="D609" s="198">
        <v>4105</v>
      </c>
      <c r="E609" s="243">
        <v>25.024799999999999</v>
      </c>
      <c r="F609" s="195">
        <v>2.3711000000000002</v>
      </c>
      <c r="G609" s="248">
        <v>160905.38250840185</v>
      </c>
      <c r="H609" s="248">
        <v>5665.7326999353872</v>
      </c>
      <c r="I609" s="248">
        <v>5388.0551060681337</v>
      </c>
      <c r="J609" s="248">
        <v>98093.36440872075</v>
      </c>
      <c r="K609" s="248">
        <v>1972601.8464963641</v>
      </c>
      <c r="L609" s="248">
        <v>798506.30034289928</v>
      </c>
      <c r="M609" s="248">
        <v>0</v>
      </c>
      <c r="N609" s="233">
        <v>0</v>
      </c>
      <c r="O609" s="248">
        <v>7709.002396942843</v>
      </c>
      <c r="P609" s="248">
        <v>3048869.6839593328</v>
      </c>
    </row>
    <row r="610" spans="1:16" x14ac:dyDescent="0.25">
      <c r="A610" s="175">
        <v>1</v>
      </c>
      <c r="B610" s="217"/>
      <c r="C610" s="217"/>
      <c r="D610" s="198"/>
      <c r="E610" s="243"/>
      <c r="F610" s="195"/>
      <c r="G610" s="248"/>
      <c r="H610" s="248"/>
      <c r="I610" s="248"/>
      <c r="J610" s="248"/>
      <c r="K610" s="248"/>
      <c r="L610" s="248"/>
      <c r="M610" s="248"/>
      <c r="N610" s="233"/>
      <c r="O610" s="248"/>
      <c r="P610" s="248"/>
    </row>
    <row r="611" spans="1:16" x14ac:dyDescent="0.25">
      <c r="A611" s="175">
        <v>1</v>
      </c>
      <c r="B611" s="217"/>
      <c r="C611" s="217"/>
      <c r="D611" s="605"/>
      <c r="E611" s="243"/>
      <c r="F611" s="221"/>
      <c r="G611" s="584"/>
      <c r="H611" s="584"/>
      <c r="I611" s="584"/>
      <c r="J611" s="584"/>
      <c r="K611" s="584"/>
      <c r="L611" s="584"/>
      <c r="M611" s="584"/>
      <c r="N611" s="584"/>
      <c r="O611" s="584"/>
      <c r="P611" s="584"/>
    </row>
    <row r="612" spans="1:16" x14ac:dyDescent="0.25">
      <c r="A612" s="175">
        <v>1</v>
      </c>
      <c r="B612" s="217" t="s">
        <v>1773</v>
      </c>
      <c r="C612" s="217"/>
      <c r="D612" s="605">
        <v>4105</v>
      </c>
      <c r="E612" s="243">
        <v>13.8</v>
      </c>
      <c r="F612" s="195"/>
      <c r="G612" s="248"/>
      <c r="H612" s="248"/>
      <c r="I612" s="248"/>
      <c r="J612" s="248"/>
      <c r="K612" s="248"/>
      <c r="L612" s="248"/>
      <c r="M612" s="248"/>
      <c r="N612" s="233"/>
      <c r="O612" s="248"/>
      <c r="P612" s="248"/>
    </row>
    <row r="613" spans="1:16" x14ac:dyDescent="0.25">
      <c r="A613" s="175">
        <v>1</v>
      </c>
      <c r="B613" s="217" t="s">
        <v>1773</v>
      </c>
      <c r="C613" s="217"/>
      <c r="D613" s="605">
        <v>4105</v>
      </c>
      <c r="E613" s="243">
        <v>0.66290000000000004</v>
      </c>
      <c r="F613" s="250"/>
      <c r="G613" s="581"/>
      <c r="H613" s="581"/>
      <c r="I613" s="581"/>
      <c r="J613" s="581"/>
      <c r="K613" s="581"/>
      <c r="L613" s="581"/>
      <c r="M613" s="581"/>
      <c r="N613" s="581"/>
      <c r="O613" s="581"/>
      <c r="P613" s="581"/>
    </row>
    <row r="614" spans="1:16" x14ac:dyDescent="0.25">
      <c r="A614" s="175">
        <v>1</v>
      </c>
      <c r="B614" s="217"/>
      <c r="C614" s="217" t="s">
        <v>1774</v>
      </c>
      <c r="D614" s="605"/>
      <c r="E614" s="243">
        <v>14.462900000000001</v>
      </c>
      <c r="F614" s="599"/>
      <c r="G614" s="248"/>
      <c r="H614" s="248"/>
      <c r="I614" s="248"/>
      <c r="J614" s="248"/>
      <c r="K614" s="248"/>
      <c r="L614" s="248"/>
      <c r="M614" s="248"/>
      <c r="N614" s="248"/>
      <c r="O614" s="248"/>
      <c r="P614" s="248"/>
    </row>
    <row r="615" spans="1:16" x14ac:dyDescent="0.25">
      <c r="A615" s="175">
        <v>1</v>
      </c>
      <c r="B615" s="217" t="s">
        <v>53</v>
      </c>
      <c r="C615" s="217"/>
      <c r="D615" s="198">
        <v>4105</v>
      </c>
      <c r="E615" s="243">
        <v>12.0664</v>
      </c>
      <c r="F615" s="195">
        <v>2.3711000000000002</v>
      </c>
      <c r="G615" s="248">
        <v>77584.983995851318</v>
      </c>
      <c r="H615" s="248">
        <v>2731.8898472915016</v>
      </c>
      <c r="I615" s="248">
        <v>2597.9999093643319</v>
      </c>
      <c r="J615" s="248">
        <v>47298.430848653661</v>
      </c>
      <c r="K615" s="248">
        <v>951144.58139780245</v>
      </c>
      <c r="L615" s="248">
        <v>385021.91515846521</v>
      </c>
      <c r="M615" s="248">
        <v>0</v>
      </c>
      <c r="N615" s="233">
        <v>0</v>
      </c>
      <c r="O615" s="248">
        <v>3717.1088888810755</v>
      </c>
      <c r="P615" s="248">
        <v>1470096.9100463097</v>
      </c>
    </row>
    <row r="616" spans="1:16" x14ac:dyDescent="0.25">
      <c r="A616" s="175">
        <v>1</v>
      </c>
      <c r="B616" s="217"/>
      <c r="C616" s="217"/>
      <c r="D616" s="605"/>
      <c r="E616" s="606"/>
      <c r="F616" s="221"/>
      <c r="G616" s="593"/>
      <c r="H616" s="593"/>
      <c r="I616" s="593"/>
      <c r="J616" s="593"/>
      <c r="K616" s="593"/>
      <c r="L616" s="593"/>
      <c r="M616" s="593"/>
      <c r="N616" s="593"/>
      <c r="O616" s="593"/>
      <c r="P616" s="593"/>
    </row>
    <row r="617" spans="1:16" ht="15.75" thickBot="1" x14ac:dyDescent="0.3">
      <c r="A617" s="175">
        <v>1</v>
      </c>
      <c r="B617" s="281"/>
      <c r="C617" s="202" t="s">
        <v>1745</v>
      </c>
      <c r="D617" s="586"/>
      <c r="E617" s="600">
        <v>510.2624090909091</v>
      </c>
      <c r="F617" s="611">
        <v>1801.2132000000011</v>
      </c>
      <c r="G617" s="656">
        <v>3260024.3643279206</v>
      </c>
      <c r="H617" s="656">
        <v>114634.43705928745</v>
      </c>
      <c r="I617" s="656">
        <v>109016.20260616664</v>
      </c>
      <c r="J617" s="656">
        <v>2033776.0973641186</v>
      </c>
      <c r="K617" s="656">
        <v>39698744.235696368</v>
      </c>
      <c r="L617" s="656">
        <v>16113037.702488052</v>
      </c>
      <c r="M617" s="656">
        <v>351285.13929566945</v>
      </c>
      <c r="N617" s="656">
        <v>1425208.1569608042</v>
      </c>
      <c r="O617" s="656">
        <v>196397.59648836553</v>
      </c>
      <c r="P617" s="656">
        <v>63302123.932286762</v>
      </c>
    </row>
    <row r="618" spans="1:16" ht="15.75" thickTop="1" x14ac:dyDescent="0.25">
      <c r="A618" s="175"/>
      <c r="B618" s="217"/>
      <c r="C618" s="217"/>
      <c r="D618" s="603"/>
      <c r="E618" s="606"/>
      <c r="F618" s="221"/>
      <c r="G618" s="182"/>
      <c r="H618" s="182"/>
      <c r="I618" s="182"/>
      <c r="J618" s="182"/>
      <c r="K618" s="182"/>
      <c r="L618" s="182"/>
      <c r="M618" s="182"/>
      <c r="N618" s="182"/>
      <c r="O618" s="182"/>
      <c r="P618" s="182"/>
    </row>
    <row r="619" spans="1:16" x14ac:dyDescent="0.25">
      <c r="A619" s="175"/>
      <c r="B619" s="217"/>
      <c r="C619" s="217"/>
      <c r="D619" s="603"/>
      <c r="E619" s="606"/>
      <c r="F619" s="221"/>
      <c r="G619" s="182"/>
      <c r="H619" s="182"/>
      <c r="I619" s="182"/>
      <c r="J619" s="182"/>
      <c r="K619" s="182"/>
      <c r="L619" s="182"/>
      <c r="M619" s="182"/>
      <c r="N619" s="182"/>
      <c r="O619" s="182"/>
      <c r="P619" s="182"/>
    </row>
    <row r="620" spans="1:16" x14ac:dyDescent="0.25">
      <c r="A620" s="175"/>
      <c r="B620" s="217"/>
      <c r="C620" s="217"/>
      <c r="D620" s="603"/>
      <c r="E620" s="606"/>
      <c r="F620" s="266"/>
      <c r="G620" s="219"/>
      <c r="H620" s="219"/>
      <c r="I620" s="219"/>
      <c r="J620" s="219"/>
      <c r="K620" s="219"/>
      <c r="L620" s="219"/>
      <c r="M620" s="219"/>
      <c r="N620" s="219"/>
      <c r="O620" s="219"/>
      <c r="P620" s="285"/>
    </row>
    <row r="621" spans="1:16" x14ac:dyDescent="0.25">
      <c r="A621" s="175"/>
      <c r="B621" s="217"/>
      <c r="C621" s="217"/>
      <c r="D621" s="603"/>
      <c r="E621" s="606"/>
      <c r="F621" s="266"/>
      <c r="G621" s="219"/>
      <c r="H621" s="219"/>
      <c r="I621" s="219"/>
      <c r="J621" s="219"/>
      <c r="K621" s="219"/>
      <c r="L621" s="219"/>
      <c r="M621" s="219"/>
      <c r="N621" s="219"/>
      <c r="O621" s="219"/>
      <c r="P621" s="285"/>
    </row>
    <row r="622" spans="1:16" x14ac:dyDescent="0.25">
      <c r="A622" s="175"/>
      <c r="B622" s="217"/>
      <c r="C622" s="217"/>
      <c r="D622" s="603"/>
      <c r="E622" s="606"/>
      <c r="F622" s="266"/>
      <c r="G622" s="219"/>
      <c r="H622" s="219"/>
      <c r="I622" s="219"/>
      <c r="J622" s="219"/>
      <c r="K622" s="219"/>
      <c r="L622" s="219"/>
      <c r="M622" s="219"/>
      <c r="N622" s="219"/>
      <c r="O622" s="219"/>
      <c r="P622" s="285"/>
    </row>
    <row r="623" spans="1:16" x14ac:dyDescent="0.25">
      <c r="A623" s="175"/>
      <c r="B623" s="217"/>
      <c r="C623" s="217"/>
      <c r="D623" s="603"/>
      <c r="E623" s="606"/>
      <c r="F623" s="266"/>
      <c r="G623" s="285"/>
      <c r="H623" s="285"/>
      <c r="I623" s="285"/>
      <c r="J623" s="285"/>
      <c r="K623" s="285"/>
      <c r="L623" s="285"/>
      <c r="M623" s="285"/>
      <c r="N623" s="285"/>
      <c r="O623" s="285"/>
      <c r="P623" s="285"/>
    </row>
    <row r="624" spans="1:16" x14ac:dyDescent="0.25">
      <c r="A624" s="175"/>
      <c r="B624" s="217"/>
      <c r="C624" s="217"/>
      <c r="D624" s="603"/>
      <c r="E624" s="624"/>
      <c r="F624" s="221"/>
      <c r="G624" s="221"/>
      <c r="H624" s="221"/>
      <c r="I624" s="221"/>
      <c r="J624" s="221"/>
      <c r="K624" s="221"/>
      <c r="L624" s="221"/>
      <c r="M624" s="221"/>
      <c r="N624" s="221"/>
      <c r="O624" s="221"/>
      <c r="P624" s="286"/>
    </row>
    <row r="625" spans="1:16" x14ac:dyDescent="0.25">
      <c r="A625" s="175"/>
      <c r="B625" s="217"/>
      <c r="C625" s="217"/>
      <c r="D625" s="603"/>
      <c r="E625" s="606"/>
      <c r="F625" s="266"/>
      <c r="G625" s="285"/>
      <c r="H625" s="285"/>
      <c r="I625" s="285"/>
      <c r="J625" s="285"/>
      <c r="K625" s="285"/>
      <c r="L625" s="285"/>
      <c r="M625" s="285"/>
      <c r="N625" s="285"/>
      <c r="O625" s="285"/>
      <c r="P625" s="285"/>
    </row>
    <row r="626" spans="1:16" x14ac:dyDescent="0.25">
      <c r="A626" s="175"/>
      <c r="B626" s="217"/>
      <c r="C626" s="217"/>
      <c r="D626" s="603"/>
      <c r="E626" s="606"/>
      <c r="F626" s="221"/>
      <c r="G626" s="182"/>
      <c r="H626" s="182"/>
      <c r="I626" s="182"/>
      <c r="J626" s="182"/>
      <c r="K626" s="182"/>
      <c r="L626" s="182"/>
      <c r="M626" s="182"/>
      <c r="N626" s="182"/>
      <c r="O626" s="182"/>
      <c r="P626" s="182"/>
    </row>
    <row r="627" spans="1:16" x14ac:dyDescent="0.25">
      <c r="A627" s="175"/>
      <c r="B627" s="217"/>
      <c r="C627" s="217"/>
      <c r="D627" s="603"/>
      <c r="E627" s="606"/>
      <c r="F627" s="221"/>
      <c r="G627" s="182"/>
      <c r="H627" s="182"/>
      <c r="I627" s="182"/>
      <c r="J627" s="182"/>
      <c r="K627" s="182"/>
      <c r="L627" s="182"/>
      <c r="M627" s="182"/>
      <c r="N627" s="182"/>
      <c r="O627" s="182"/>
      <c r="P627" s="182"/>
    </row>
    <row r="628" spans="1:16" x14ac:dyDescent="0.25">
      <c r="A628" s="175"/>
      <c r="B628" s="217"/>
      <c r="C628" s="217"/>
      <c r="D628" s="603"/>
      <c r="E628" s="606"/>
      <c r="F628" s="266"/>
      <c r="G628" s="219"/>
      <c r="H628" s="219"/>
      <c r="I628" s="219"/>
      <c r="J628" s="219"/>
      <c r="K628" s="219"/>
      <c r="L628" s="219"/>
      <c r="M628" s="219"/>
      <c r="N628" s="219"/>
      <c r="O628" s="219"/>
      <c r="P628" s="285"/>
    </row>
    <row r="629" spans="1:16" x14ac:dyDescent="0.25">
      <c r="A629" s="175"/>
      <c r="B629" s="217"/>
      <c r="C629" s="217"/>
      <c r="D629" s="603"/>
      <c r="E629" s="606"/>
      <c r="F629" s="266"/>
      <c r="G629" s="219"/>
      <c r="H629" s="219"/>
      <c r="I629" s="219"/>
      <c r="J629" s="219"/>
      <c r="K629" s="219"/>
      <c r="L629" s="219"/>
      <c r="M629" s="219"/>
      <c r="N629" s="219"/>
      <c r="O629" s="219"/>
      <c r="P629" s="285"/>
    </row>
    <row r="630" spans="1:16" x14ac:dyDescent="0.25">
      <c r="A630" s="175"/>
      <c r="B630" s="217"/>
      <c r="C630" s="217"/>
      <c r="D630" s="603"/>
      <c r="E630" s="606"/>
      <c r="F630" s="221"/>
      <c r="G630" s="182"/>
      <c r="H630" s="182"/>
      <c r="I630" s="182"/>
      <c r="J630" s="182"/>
      <c r="K630" s="182"/>
      <c r="L630" s="182"/>
      <c r="M630" s="182"/>
      <c r="N630" s="182"/>
      <c r="O630" s="182"/>
      <c r="P630" s="182"/>
    </row>
    <row r="631" spans="1:16" x14ac:dyDescent="0.25">
      <c r="A631" s="175"/>
      <c r="B631" s="217"/>
      <c r="C631" s="217"/>
      <c r="D631" s="603"/>
      <c r="E631" s="606"/>
      <c r="F631" s="612"/>
      <c r="G631" s="182"/>
      <c r="H631" s="182"/>
      <c r="I631" s="182"/>
      <c r="J631" s="182"/>
      <c r="K631" s="182"/>
      <c r="L631" s="182"/>
      <c r="M631" s="182"/>
      <c r="N631" s="182"/>
      <c r="O631" s="182"/>
      <c r="P631" s="182"/>
    </row>
    <row r="632" spans="1:16" x14ac:dyDescent="0.25">
      <c r="A632" s="175"/>
      <c r="B632" s="217"/>
      <c r="C632" s="217"/>
      <c r="D632" s="603"/>
      <c r="E632" s="606"/>
      <c r="F632" s="612"/>
      <c r="G632" s="182"/>
      <c r="H632" s="182"/>
      <c r="I632" s="182"/>
      <c r="J632" s="182"/>
      <c r="K632" s="182"/>
      <c r="L632" s="182"/>
      <c r="M632" s="182"/>
      <c r="N632" s="182"/>
      <c r="O632" s="182"/>
      <c r="P632" s="182"/>
    </row>
    <row r="633" spans="1:16" x14ac:dyDescent="0.25">
      <c r="A633" s="175"/>
      <c r="B633" s="217"/>
      <c r="C633" s="217"/>
      <c r="D633" s="603"/>
      <c r="E633" s="606"/>
      <c r="F633" s="221"/>
      <c r="G633" s="182"/>
      <c r="H633" s="182"/>
      <c r="I633" s="182"/>
      <c r="J633" s="182"/>
      <c r="K633" s="182"/>
      <c r="L633" s="182"/>
      <c r="M633" s="182"/>
      <c r="N633" s="182"/>
      <c r="O633" s="182"/>
      <c r="P633" s="182"/>
    </row>
    <row r="634" spans="1:16" x14ac:dyDescent="0.25">
      <c r="D634" s="625"/>
      <c r="E634" s="625"/>
      <c r="G634" s="220"/>
      <c r="H634" s="220"/>
      <c r="I634" s="220"/>
      <c r="J634" s="220"/>
      <c r="K634" s="220"/>
      <c r="L634" s="220"/>
      <c r="M634" s="220"/>
      <c r="N634" s="220"/>
      <c r="O634" s="220"/>
      <c r="P634" s="220"/>
    </row>
    <row r="635" spans="1:16" x14ac:dyDescent="0.25">
      <c r="D635" s="625"/>
      <c r="E635" s="625"/>
    </row>
    <row r="636" spans="1:16" x14ac:dyDescent="0.25">
      <c r="D636" s="625"/>
      <c r="E636" s="625"/>
      <c r="G636" s="348"/>
      <c r="H636" s="348"/>
      <c r="I636" s="348"/>
      <c r="J636" s="348"/>
      <c r="K636" s="348"/>
      <c r="L636" s="348"/>
      <c r="M636" s="348"/>
      <c r="N636" s="348"/>
      <c r="O636" s="348"/>
      <c r="P636" s="348"/>
    </row>
    <row r="638" spans="1:16" x14ac:dyDescent="0.25">
      <c r="J638" s="349"/>
      <c r="K638" s="349"/>
      <c r="L638" s="349"/>
      <c r="M638" s="349"/>
      <c r="N638" s="349"/>
      <c r="O638" s="349"/>
      <c r="P638" s="349"/>
    </row>
  </sheetData>
  <autoFilter ref="A7:P633"/>
  <mergeCells count="4">
    <mergeCell ref="B1:P1"/>
    <mergeCell ref="B2:P2"/>
    <mergeCell ref="B3:P3"/>
    <mergeCell ref="B4:P4"/>
  </mergeCells>
  <pageMargins left="0.7" right="0.7" top="0.75" bottom="0.75" header="0.3" footer="0.3"/>
  <pageSetup scale="50" fitToHeight="0" orientation="landscape" verticalDpi="1200" r:id="rId1"/>
  <headerFooter>
    <oddHeader>&amp;RTO8 Annual Update (Revised)
Attachment 2
WP‐Schedule 7-2011 Plant Study
Page &amp;P of &amp;N</oddHeader>
    <oddFooter>&amp;C&amp;A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AC866"/>
  <sheetViews>
    <sheetView showGridLines="0" zoomScale="80" zoomScaleNormal="80" workbookViewId="0">
      <selection activeCell="F2" sqref="F2:H2"/>
    </sheetView>
  </sheetViews>
  <sheetFormatPr defaultRowHeight="12.75" x14ac:dyDescent="0.2"/>
  <cols>
    <col min="1" max="1" width="22.7109375" style="29" customWidth="1"/>
    <col min="2" max="2" width="11.140625" style="46" customWidth="1"/>
    <col min="3" max="3" width="12.42578125" style="46" customWidth="1"/>
    <col min="4" max="4" width="14.28515625" style="50" bestFit="1" customWidth="1"/>
    <col min="5" max="5" width="22.42578125" style="50" bestFit="1" customWidth="1"/>
    <col min="6" max="6" width="15.85546875" style="50" bestFit="1" customWidth="1"/>
    <col min="7" max="7" width="15.85546875" style="515" bestFit="1" customWidth="1"/>
    <col min="8" max="8" width="10" style="29" bestFit="1" customWidth="1"/>
    <col min="9" max="10" width="12" style="29" bestFit="1" customWidth="1"/>
    <col min="11" max="11" width="14.28515625" style="29" bestFit="1" customWidth="1"/>
    <col min="12" max="12" width="22.85546875" style="29" bestFit="1" customWidth="1"/>
    <col min="13" max="13" width="15.85546875" style="29" bestFit="1" customWidth="1"/>
    <col min="14" max="14" width="10.85546875" style="30" hidden="1" customWidth="1"/>
    <col min="15" max="15" width="12.85546875" style="43" hidden="1" customWidth="1"/>
    <col min="16" max="16" width="15.28515625" style="30" hidden="1" customWidth="1"/>
    <col min="17" max="17" width="4.7109375" style="30" hidden="1" customWidth="1"/>
    <col min="18" max="20" width="15.28515625" style="30" hidden="1" customWidth="1"/>
    <col min="21" max="21" width="2.85546875" style="30" hidden="1" customWidth="1"/>
    <col min="22" max="26" width="15.28515625" style="30" hidden="1" customWidth="1"/>
    <col min="27" max="27" width="9.140625" style="30" hidden="1" customWidth="1"/>
    <col min="28" max="28" width="14.140625" style="30" hidden="1" customWidth="1"/>
    <col min="29" max="29" width="13" style="30" hidden="1" customWidth="1"/>
    <col min="30" max="16384" width="9.140625" style="30"/>
  </cols>
  <sheetData>
    <row r="1" spans="1:29" ht="19.5" customHeight="1" x14ac:dyDescent="0.3">
      <c r="A1" s="64" t="s">
        <v>1429</v>
      </c>
      <c r="B1" s="27"/>
      <c r="C1" s="27"/>
      <c r="D1" s="28"/>
      <c r="E1" s="28"/>
      <c r="F1" s="28"/>
      <c r="G1" s="517"/>
    </row>
    <row r="2" spans="1:29" ht="16.5" customHeight="1" x14ac:dyDescent="0.25">
      <c r="A2" s="31" t="s">
        <v>1716</v>
      </c>
      <c r="B2" s="27"/>
      <c r="C2" s="27"/>
      <c r="D2" s="28"/>
      <c r="E2" s="28"/>
      <c r="F2" s="28"/>
      <c r="G2" s="517"/>
    </row>
    <row r="3" spans="1:29" ht="16.5" customHeight="1" x14ac:dyDescent="0.25">
      <c r="A3" s="31" t="s">
        <v>1447</v>
      </c>
      <c r="B3" s="27"/>
      <c r="C3" s="27"/>
      <c r="D3" s="28"/>
      <c r="E3" s="28"/>
      <c r="F3" s="28"/>
      <c r="G3" s="517"/>
      <c r="O3" s="548"/>
    </row>
    <row r="4" spans="1:29" ht="13.5" customHeight="1" thickBot="1" x14ac:dyDescent="0.25">
      <c r="A4" s="32"/>
      <c r="B4" s="27"/>
      <c r="C4" s="27"/>
      <c r="D4" s="28"/>
      <c r="E4" s="28"/>
      <c r="F4" s="28"/>
      <c r="G4" s="517"/>
    </row>
    <row r="5" spans="1:29" ht="13.5" thickBot="1" x14ac:dyDescent="0.25">
      <c r="A5" s="809" t="s">
        <v>1430</v>
      </c>
      <c r="B5" s="812" t="s">
        <v>1448</v>
      </c>
      <c r="C5" s="520"/>
      <c r="D5" s="562"/>
      <c r="E5" s="563" t="s">
        <v>1449</v>
      </c>
      <c r="F5" s="564"/>
      <c r="G5" s="565"/>
      <c r="H5" s="815" t="s">
        <v>3324</v>
      </c>
      <c r="I5" s="816"/>
      <c r="J5" s="817"/>
      <c r="K5" s="555"/>
      <c r="L5" s="556" t="s">
        <v>117</v>
      </c>
      <c r="M5" s="557"/>
    </row>
    <row r="6" spans="1:29" s="33" customFormat="1" ht="18.75" customHeight="1" thickBot="1" x14ac:dyDescent="0.25">
      <c r="A6" s="810"/>
      <c r="B6" s="813"/>
      <c r="C6" s="519"/>
      <c r="D6" s="566" t="s">
        <v>1507</v>
      </c>
      <c r="E6" s="567" t="s">
        <v>1457</v>
      </c>
      <c r="F6" s="568" t="s">
        <v>1458</v>
      </c>
      <c r="G6" s="569" t="s">
        <v>1459</v>
      </c>
      <c r="H6" s="570" t="s">
        <v>1507</v>
      </c>
      <c r="I6" s="571" t="s">
        <v>1457</v>
      </c>
      <c r="J6" s="572" t="s">
        <v>1458</v>
      </c>
      <c r="K6" s="570" t="s">
        <v>1507</v>
      </c>
      <c r="L6" s="571" t="s">
        <v>1457</v>
      </c>
      <c r="M6" s="572" t="s">
        <v>1458</v>
      </c>
      <c r="O6" s="115"/>
    </row>
    <row r="7" spans="1:29" ht="21.75" customHeight="1" thickBot="1" x14ac:dyDescent="0.25">
      <c r="A7" s="811"/>
      <c r="B7" s="814"/>
      <c r="C7" s="518" t="s">
        <v>1468</v>
      </c>
      <c r="D7" s="573" t="s">
        <v>1446</v>
      </c>
      <c r="E7" s="574" t="s">
        <v>1460</v>
      </c>
      <c r="F7" s="575" t="s">
        <v>1461</v>
      </c>
      <c r="G7" s="576" t="s">
        <v>1462</v>
      </c>
      <c r="H7" s="573" t="s">
        <v>1446</v>
      </c>
      <c r="I7" s="574" t="s">
        <v>1460</v>
      </c>
      <c r="J7" s="577" t="s">
        <v>1461</v>
      </c>
      <c r="K7" s="573" t="s">
        <v>1446</v>
      </c>
      <c r="L7" s="574" t="s">
        <v>1460</v>
      </c>
      <c r="M7" s="577" t="s">
        <v>1461</v>
      </c>
      <c r="O7" s="473" t="s">
        <v>3311</v>
      </c>
      <c r="P7" s="549" t="s">
        <v>1724</v>
      </c>
      <c r="Q7" s="38"/>
      <c r="R7" s="549" t="s">
        <v>1470</v>
      </c>
      <c r="S7" s="549" t="s">
        <v>985</v>
      </c>
      <c r="T7" s="549" t="s">
        <v>1015</v>
      </c>
      <c r="V7" s="549" t="s">
        <v>1471</v>
      </c>
      <c r="W7" s="549" t="s">
        <v>1472</v>
      </c>
      <c r="X7" s="549" t="s">
        <v>1473</v>
      </c>
      <c r="Y7" s="549" t="s">
        <v>1474</v>
      </c>
      <c r="Z7" s="549" t="s">
        <v>1475</v>
      </c>
      <c r="AB7" s="511" t="s">
        <v>110</v>
      </c>
      <c r="AC7" s="511" t="s">
        <v>111</v>
      </c>
    </row>
    <row r="8" spans="1:29" ht="8.25" customHeight="1" x14ac:dyDescent="0.2">
      <c r="A8" s="34"/>
      <c r="B8" s="35"/>
      <c r="C8" s="35"/>
      <c r="D8" s="36"/>
      <c r="E8" s="36"/>
      <c r="F8" s="36"/>
      <c r="G8" s="546"/>
      <c r="H8" s="36"/>
      <c r="I8" s="36"/>
      <c r="J8" s="36"/>
      <c r="K8" s="36"/>
      <c r="L8" s="36"/>
      <c r="M8" s="36"/>
      <c r="P8" s="545"/>
      <c r="Q8" s="38"/>
      <c r="R8" s="545"/>
      <c r="S8" s="545"/>
      <c r="T8" s="545"/>
      <c r="V8" s="545"/>
      <c r="W8" s="545"/>
      <c r="X8" s="545"/>
      <c r="Y8" s="545"/>
      <c r="Z8" s="545"/>
      <c r="AB8" s="521"/>
      <c r="AC8" s="521"/>
    </row>
    <row r="9" spans="1:29" ht="12.75" customHeight="1" collapsed="1" x14ac:dyDescent="0.2">
      <c r="A9" s="39" t="s">
        <v>2424</v>
      </c>
      <c r="B9" s="45" t="s">
        <v>408</v>
      </c>
      <c r="C9" s="40" t="s">
        <v>3334</v>
      </c>
      <c r="D9" s="53">
        <v>466445.89</v>
      </c>
      <c r="E9" s="53">
        <v>2122529.77</v>
      </c>
      <c r="F9" s="53">
        <v>8512832.879999999</v>
      </c>
      <c r="G9" s="578">
        <f>SUM(D9:F9)</f>
        <v>11101808.539999999</v>
      </c>
      <c r="H9" s="174">
        <f>IF(AC9="EKWRA",SUMIF('Antelope Bailey Split BA'!$B$7:$B$29,B9,'Antelope Bailey Split BA'!$AO$7:$AO$29),0)</f>
        <v>72734.24705993096</v>
      </c>
      <c r="I9" s="174">
        <f>IF(AC9="EKWRA",SUMIF('Antelope Bailey Split BA'!$B$7:$B$29,B9,'Antelope Bailey Split BA'!$AP$7:$AP$29),0)</f>
        <v>372807.21491069789</v>
      </c>
      <c r="J9" s="174">
        <f>IF(AC9="EKWRA",SUMIF('Antelope Bailey Split BA'!$B$7:$B$29,B9,'Antelope Bailey Split BA'!$AQ$7:$AQ$29),0)</f>
        <v>1285595.4232968381</v>
      </c>
      <c r="K9" s="174">
        <f>IF(AC9="EKWRA",SUMIF('Antelope Bailey Split BA'!$B$7:$B$29,B9,'Antelope Bailey Split BA'!$AR$7:$AR$29),D9)</f>
        <v>393711.64294006902</v>
      </c>
      <c r="L9" s="174">
        <f>IF(AC9="EKWRA",SUMIF('Antelope Bailey Split BA'!$B$7:$B$29,B9,'Antelope Bailey Split BA'!$AS$7:$AS$29),E9)</f>
        <v>1749722.5550893019</v>
      </c>
      <c r="M9" s="174">
        <f>IF(AC9="EKWRA",SUMIF('Antelope Bailey Split BA'!$B$7:$B$29,B9,'Antelope Bailey Split BA'!$AT$7:$AT$29),F9)</f>
        <v>7227237.4567031618</v>
      </c>
      <c r="N9" s="363">
        <f>G9-SUM(H9:M9)</f>
        <v>0</v>
      </c>
      <c r="O9" s="20" t="str">
        <f t="shared" ref="O9:O14" si="0">IF(AC9="EKWRA","Mix","Non-ISO")</f>
        <v>Mix</v>
      </c>
      <c r="P9" s="43" t="s">
        <v>1477</v>
      </c>
      <c r="R9" s="41">
        <f t="shared" ref="R9:R14" si="1">SUM(H9:J9)</f>
        <v>1731136.8852674668</v>
      </c>
      <c r="S9" s="41">
        <f t="shared" ref="S9:S14" si="2">H9</f>
        <v>72734.24705993096</v>
      </c>
      <c r="T9" s="41">
        <f>SUM(I9:J9)</f>
        <v>1658402.638207536</v>
      </c>
      <c r="U9" s="41"/>
      <c r="V9" s="44" t="str">
        <f>IF($P9="High",$S9,IF($P9="Mix",SUMIF('High_Low Voltage Mix Summary'!$B$10:$B$17,$B222,'High_Low Voltage Mix Summary'!$D$10:$D$17),""))</f>
        <v/>
      </c>
      <c r="W9" s="44">
        <f>IF($P9="Low",$S9,IF($P9="Mix",SUMIF('High_Low Voltage Mix Summary'!$B$10:$B$17,$B222,'High_Low Voltage Mix Summary'!$E$10:$E$17),""))</f>
        <v>72734.24705993096</v>
      </c>
      <c r="X9" s="44" t="str">
        <f>IF($P9="High",$T9,IF($P9="Mix",SUMIF('High_Low Voltage Mix Summary'!$B$10:$B$17,$B222,'High_Low Voltage Mix Summary'!$F$10:$F$17),""))</f>
        <v/>
      </c>
      <c r="Y9" s="44">
        <f>IF($P9="Low",$T9,IF($P9="Mix",SUMIF('High_Low Voltage Mix Summary'!$B$10:$B$17,$B222,'High_Low Voltage Mix Summary'!$G$10:$G$17),""))</f>
        <v>1658402.638207536</v>
      </c>
      <c r="Z9" s="44" t="str">
        <f>IF(OR($P9="High",$P9="Low"),"",IF($P9="Mix",SUMIF('High_Low Voltage Mix Summary'!$B$10:$B$17,$B222,'High_Low Voltage Mix Summary'!$H$10:$H$17),""))</f>
        <v/>
      </c>
      <c r="AB9" s="49">
        <f>SUMIF('Antelope Bailey Split BA'!$B$7:$B$29,B9,'Antelope Bailey Split BA'!$C$7:$C$29)</f>
        <v>1</v>
      </c>
      <c r="AC9" s="49" t="str">
        <f>IF(AND(AB9=1,'Plant Total by Account'!$H$1=2),"EKWRA","")</f>
        <v>EKWRA</v>
      </c>
    </row>
    <row r="10" spans="1:29" ht="12.75" customHeight="1" x14ac:dyDescent="0.2">
      <c r="A10" s="39" t="s">
        <v>2884</v>
      </c>
      <c r="B10" s="45" t="s">
        <v>452</v>
      </c>
      <c r="C10" s="40" t="s">
        <v>3334</v>
      </c>
      <c r="D10" s="53">
        <v>382.78000000000003</v>
      </c>
      <c r="E10" s="53">
        <v>164070.01</v>
      </c>
      <c r="F10" s="53">
        <v>1031548.77</v>
      </c>
      <c r="G10" s="578">
        <f>SUM(D10:F10)</f>
        <v>1196001.56</v>
      </c>
      <c r="H10" s="174">
        <f>IF(AC10="EKWRA",SUMIF('Antelope Bailey Split BA'!$B$7:$B$29,B10,'Antelope Bailey Split BA'!$AO$7:$AO$29),0)</f>
        <v>56.934593500022451</v>
      </c>
      <c r="I10" s="174">
        <f>IF(AC10="EKWRA",SUMIF('Antelope Bailey Split BA'!$B$7:$B$29,B10,'Antelope Bailey Split BA'!$AP$7:$AP$29),0)</f>
        <v>24403.728838744497</v>
      </c>
      <c r="J10" s="174">
        <f>IF(AC10="EKWRA",SUMIF('Antelope Bailey Split BA'!$B$7:$B$29,B10,'Antelope Bailey Split BA'!$AQ$7:$AQ$29),0)</f>
        <v>153432.28459009915</v>
      </c>
      <c r="K10" s="174">
        <f>IF(AC10="EKWRA",SUMIF('Antelope Bailey Split BA'!$B$7:$B$29,B10,'Antelope Bailey Split BA'!$AR$7:$AR$29),D10)</f>
        <v>325.84540649997757</v>
      </c>
      <c r="L10" s="174">
        <f>IF(AC10="EKWRA",SUMIF('Antelope Bailey Split BA'!$B$7:$B$29,B10,'Antelope Bailey Split BA'!$AS$7:$AS$29),E10)</f>
        <v>139666.28116125549</v>
      </c>
      <c r="M10" s="174">
        <f>IF(AC10="EKWRA",SUMIF('Antelope Bailey Split BA'!$B$7:$B$29,B10,'Antelope Bailey Split BA'!$AT$7:$AT$29),F10)</f>
        <v>878116.4854099009</v>
      </c>
      <c r="N10" s="363">
        <f>G10-SUM(H10:M10)</f>
        <v>0</v>
      </c>
      <c r="O10" s="20" t="str">
        <f t="shared" si="0"/>
        <v>Mix</v>
      </c>
      <c r="P10" s="43" t="s">
        <v>1477</v>
      </c>
      <c r="R10" s="41">
        <f t="shared" si="1"/>
        <v>177892.94802234368</v>
      </c>
      <c r="S10" s="41">
        <f t="shared" si="2"/>
        <v>56.934593500022451</v>
      </c>
      <c r="T10" s="41">
        <f>SUM(I10:J10)</f>
        <v>177836.01342884364</v>
      </c>
      <c r="U10" s="41"/>
      <c r="V10" s="44" t="str">
        <f>IF($P10="High",$S10,IF($P10="Mix",SUMIF('High_Low Voltage Mix Summary'!$B$10:$B$17,$B1052,'High_Low Voltage Mix Summary'!$D$10:$D$17),""))</f>
        <v/>
      </c>
      <c r="W10" s="44">
        <f>IF($P10="Low",$S10,IF($P10="Mix",SUMIF('High_Low Voltage Mix Summary'!$B$10:$B$17,$B1052,'High_Low Voltage Mix Summary'!$E$10:$E$17),""))</f>
        <v>56.934593500022451</v>
      </c>
      <c r="X10" s="44" t="str">
        <f>IF($P10="High",$T10,IF($P10="Mix",SUMIF('High_Low Voltage Mix Summary'!$B$10:$B$17,$B1052,'High_Low Voltage Mix Summary'!$F$10:$F$17),""))</f>
        <v/>
      </c>
      <c r="Y10" s="44">
        <f>IF($P10="Low",$T10,IF($P10="Mix",SUMIF('High_Low Voltage Mix Summary'!$B$10:$B$17,$B1052,'High_Low Voltage Mix Summary'!$G$10:$G$17),""))</f>
        <v>177836.01342884364</v>
      </c>
      <c r="Z10" s="44" t="str">
        <f>IF(OR($P10="High",$P10="Low"),"",IF($P10="Mix",SUMIF('High_Low Voltage Mix Summary'!$B$10:$B$17,$B1052,'High_Low Voltage Mix Summary'!$H$10:$H$17),""))</f>
        <v/>
      </c>
      <c r="AB10" s="49">
        <f>SUMIF('Antelope Bailey Split BA'!$B$7:$B$29,B10,'Antelope Bailey Split BA'!$C$7:$C$29)</f>
        <v>1</v>
      </c>
      <c r="AC10" s="49" t="str">
        <f>IF(AND(AB10=1,'Plant Total by Account'!$H$1=2),"EKWRA","")</f>
        <v>EKWRA</v>
      </c>
    </row>
    <row r="11" spans="1:29" ht="12.75" customHeight="1" x14ac:dyDescent="0.2">
      <c r="A11" s="39" t="s">
        <v>2904</v>
      </c>
      <c r="B11" s="45" t="s">
        <v>476</v>
      </c>
      <c r="C11" s="40" t="s">
        <v>3334</v>
      </c>
      <c r="D11" s="53">
        <v>157.24</v>
      </c>
      <c r="E11" s="53">
        <v>740624.81</v>
      </c>
      <c r="F11" s="53">
        <v>9961714.4300000053</v>
      </c>
      <c r="G11" s="578">
        <f>SUM(D11:F11)</f>
        <v>10702496.480000006</v>
      </c>
      <c r="H11" s="174">
        <f>IF(AC11="EKWRA",SUMIF('Antelope Bailey Split BA'!$B$7:$B$29,B11,'Antelope Bailey Split BA'!$AO$7:$AO$29),0)</f>
        <v>1.0846391520791885</v>
      </c>
      <c r="I11" s="174">
        <f>IF(AC11="EKWRA",SUMIF('Antelope Bailey Split BA'!$B$7:$B$29,B11,'Antelope Bailey Split BA'!$AP$7:$AP$29),0)</f>
        <v>5108.8187861053793</v>
      </c>
      <c r="J11" s="174">
        <f>IF(AC11="EKWRA",SUMIF('Antelope Bailey Split BA'!$B$7:$B$29,B11,'Antelope Bailey Split BA'!$AQ$7:$AQ$29),0)</f>
        <v>68715.756121916958</v>
      </c>
      <c r="K11" s="174">
        <f>IF(AC11="EKWRA",SUMIF('Antelope Bailey Split BA'!$B$7:$B$29,B11,'Antelope Bailey Split BA'!$AR$7:$AR$29),D11)</f>
        <v>156.15536084792083</v>
      </c>
      <c r="L11" s="174">
        <f>IF(AC11="EKWRA",SUMIF('Antelope Bailey Split BA'!$B$7:$B$29,B11,'Antelope Bailey Split BA'!$AS$7:$AS$29),E11)</f>
        <v>735515.99121389457</v>
      </c>
      <c r="M11" s="174">
        <f>IF(AC11="EKWRA",SUMIF('Antelope Bailey Split BA'!$B$7:$B$29,B11,'Antelope Bailey Split BA'!$AT$7:$AT$29),F11)</f>
        <v>9892998.6738780886</v>
      </c>
      <c r="N11" s="363">
        <f>G11-SUM(H11:M11)</f>
        <v>0</v>
      </c>
      <c r="O11" s="20" t="str">
        <f t="shared" si="0"/>
        <v>Mix</v>
      </c>
      <c r="P11" s="43" t="s">
        <v>1477</v>
      </c>
      <c r="R11" s="41">
        <f t="shared" si="1"/>
        <v>73825.659547174422</v>
      </c>
      <c r="S11" s="41">
        <f t="shared" si="2"/>
        <v>1.0846391520791885</v>
      </c>
      <c r="T11" s="41">
        <f>SUM(I11:J11)</f>
        <v>73824.574908022332</v>
      </c>
      <c r="U11" s="41"/>
      <c r="V11" s="44" t="str">
        <f>IF($P11="High",$S11,IF($P11="Mix",SUMIF('High_Low Voltage Mix Summary'!$B$10:$B$17,$B1109,'High_Low Voltage Mix Summary'!$D$10:$D$17),""))</f>
        <v/>
      </c>
      <c r="W11" s="44">
        <f>IF($P11="Low",$S11,IF($P11="Mix",SUMIF('High_Low Voltage Mix Summary'!$B$10:$B$17,$B1109,'High_Low Voltage Mix Summary'!$E$10:$E$17),""))</f>
        <v>1.0846391520791885</v>
      </c>
      <c r="X11" s="44" t="str">
        <f>IF($P11="High",$T11,IF($P11="Mix",SUMIF('High_Low Voltage Mix Summary'!$B$10:$B$17,$B1109,'High_Low Voltage Mix Summary'!$F$10:$F$17),""))</f>
        <v/>
      </c>
      <c r="Y11" s="44">
        <f>IF($P11="Low",$T11,IF($P11="Mix",SUMIF('High_Low Voltage Mix Summary'!$B$10:$B$17,$B1109,'High_Low Voltage Mix Summary'!$G$10:$G$17),""))</f>
        <v>73824.574908022332</v>
      </c>
      <c r="Z11" s="44" t="str">
        <f>IF(OR($P11="High",$P11="Low"),"",IF($P11="Mix",SUMIF('High_Low Voltage Mix Summary'!$B$10:$B$17,$B1109,'High_Low Voltage Mix Summary'!$H$10:$H$17),""))</f>
        <v/>
      </c>
      <c r="AB11" s="49">
        <f>SUMIF('Antelope Bailey Split BA'!$B$7:$B$29,B11,'Antelope Bailey Split BA'!$C$7:$C$29)</f>
        <v>1</v>
      </c>
      <c r="AC11" s="49" t="str">
        <f>IF(AND(AB11=1,'Plant Total by Account'!$H$1=2),"EKWRA","")</f>
        <v>EKWRA</v>
      </c>
    </row>
    <row r="12" spans="1:29" ht="12.75" customHeight="1" x14ac:dyDescent="0.2">
      <c r="A12" s="39" t="s">
        <v>2908</v>
      </c>
      <c r="B12" s="45" t="s">
        <v>483</v>
      </c>
      <c r="C12" s="40" t="s">
        <v>3334</v>
      </c>
      <c r="D12" s="53">
        <v>384.16</v>
      </c>
      <c r="E12" s="53">
        <v>33392.47</v>
      </c>
      <c r="F12" s="53">
        <v>579541.88</v>
      </c>
      <c r="G12" s="578">
        <f t="shared" ref="G12:G74" si="3">SUM(D12:F12)</f>
        <v>613318.51</v>
      </c>
      <c r="H12" s="174">
        <f>IF(AC12="EKWRA",SUMIF('Antelope Bailey Split BA'!$B$7:$B$29,B12,'Antelope Bailey Split BA'!$AO$7:$AO$29),0)</f>
        <v>9.841270983683188</v>
      </c>
      <c r="I12" s="174">
        <f>IF(AC12="EKWRA",SUMIF('Antelope Bailey Split BA'!$B$7:$B$29,B12,'Antelope Bailey Split BA'!$AP$7:$AP$29),0)</f>
        <v>855.43613620499627</v>
      </c>
      <c r="J12" s="174">
        <f>IF(AC12="EKWRA",SUMIF('Antelope Bailey Split BA'!$B$7:$B$29,B12,'Antelope Bailey Split BA'!$AQ$7:$AQ$29),0)</f>
        <v>14846.492834946905</v>
      </c>
      <c r="K12" s="174">
        <f>IF(AC12="EKWRA",SUMIF('Antelope Bailey Split BA'!$B$7:$B$29,B12,'Antelope Bailey Split BA'!$AR$7:$AR$29),D12)</f>
        <v>374.31872901631687</v>
      </c>
      <c r="L12" s="174">
        <f>IF(AC12="EKWRA",SUMIF('Antelope Bailey Split BA'!$B$7:$B$29,B12,'Antelope Bailey Split BA'!$AS$7:$AS$29),E12)</f>
        <v>32537.033863795008</v>
      </c>
      <c r="M12" s="174">
        <f>IF(AC12="EKWRA",SUMIF('Antelope Bailey Split BA'!$B$7:$B$29,B12,'Antelope Bailey Split BA'!$AT$7:$AT$29),F12)</f>
        <v>564695.38716505305</v>
      </c>
      <c r="N12" s="363">
        <f t="shared" ref="N12:N74" si="4">G12-SUM(H12:M12)</f>
        <v>0</v>
      </c>
      <c r="O12" s="20" t="str">
        <f t="shared" si="0"/>
        <v>Mix</v>
      </c>
      <c r="P12" s="43" t="s">
        <v>1477</v>
      </c>
      <c r="R12" s="41">
        <f t="shared" si="1"/>
        <v>15711.770242135584</v>
      </c>
      <c r="S12" s="41">
        <f t="shared" si="2"/>
        <v>9.841270983683188</v>
      </c>
      <c r="T12" s="41">
        <f t="shared" ref="T12:T49" si="5">SUM(I12:J12)</f>
        <v>15701.928971151901</v>
      </c>
      <c r="U12" s="41"/>
      <c r="V12" s="44" t="str">
        <f>IF($P12="High",$S12,IF($P12="Mix",SUMIF('High_Low Voltage Mix Summary'!$B$10:$B$17,$B742,'High_Low Voltage Mix Summary'!$D$10:$D$17),""))</f>
        <v/>
      </c>
      <c r="W12" s="44">
        <f>IF($P12="Low",$S12,IF($P12="Mix",SUMIF('High_Low Voltage Mix Summary'!$B$10:$B$17,$B742,'High_Low Voltage Mix Summary'!$E$10:$E$17),""))</f>
        <v>9.841270983683188</v>
      </c>
      <c r="X12" s="44" t="str">
        <f>IF($P12="High",$T12,IF($P12="Mix",SUMIF('High_Low Voltage Mix Summary'!$B$10:$B$17,$B742,'High_Low Voltage Mix Summary'!$F$10:$F$17),""))</f>
        <v/>
      </c>
      <c r="Y12" s="44">
        <f>IF($P12="Low",$T12,IF($P12="Mix",SUMIF('High_Low Voltage Mix Summary'!$B$10:$B$17,$B742,'High_Low Voltage Mix Summary'!$G$10:$G$17),""))</f>
        <v>15701.928971151901</v>
      </c>
      <c r="Z12" s="44" t="str">
        <f>IF(OR($P12="High",$P12="Low"),"",IF($P12="Mix",SUMIF('High_Low Voltage Mix Summary'!$B$10:$B$17,$B742,'High_Low Voltage Mix Summary'!$H$10:$H$17),""))</f>
        <v/>
      </c>
      <c r="AB12" s="49">
        <f>SUMIF('Antelope Bailey Split BA'!$B$7:$B$29,B12,'Antelope Bailey Split BA'!$C$7:$C$29)</f>
        <v>1</v>
      </c>
      <c r="AC12" s="49" t="str">
        <f>IF(AND(AB12=1,'Plant Total by Account'!$H$1=2),"EKWRA","")</f>
        <v>EKWRA</v>
      </c>
    </row>
    <row r="13" spans="1:29" ht="12.75" customHeight="1" x14ac:dyDescent="0.2">
      <c r="A13" s="39" t="s">
        <v>2441</v>
      </c>
      <c r="B13" s="45" t="s">
        <v>500</v>
      </c>
      <c r="C13" s="40" t="s">
        <v>3334</v>
      </c>
      <c r="D13" s="53">
        <v>15905.07</v>
      </c>
      <c r="E13" s="53">
        <v>290769.74</v>
      </c>
      <c r="F13" s="53">
        <v>6263764.4399999995</v>
      </c>
      <c r="G13" s="578">
        <f t="shared" si="3"/>
        <v>6570439.2499999991</v>
      </c>
      <c r="H13" s="174">
        <f>IF(AC13="EKWRA",SUMIF('Antelope Bailey Split BA'!$B$7:$B$29,B13,'Antelope Bailey Split BA'!$AO$7:$AO$29),0)</f>
        <v>3074.3734362079886</v>
      </c>
      <c r="I13" s="174">
        <f>IF(AC13="EKWRA",SUMIF('Antelope Bailey Split BA'!$B$7:$B$29,B13,'Antelope Bailey Split BA'!$AP$7:$AP$29),0)</f>
        <v>52474.123947198284</v>
      </c>
      <c r="J13" s="174">
        <f>IF(AC13="EKWRA",SUMIF('Antelope Bailey Split BA'!$B$7:$B$29,B13,'Antelope Bailey Split BA'!$AQ$7:$AQ$29),0)</f>
        <v>1061288.7965823612</v>
      </c>
      <c r="K13" s="174">
        <f>IF(AC13="EKWRA",SUMIF('Antelope Bailey Split BA'!$B$7:$B$29,B13,'Antelope Bailey Split BA'!$AR$7:$AR$29),D13)</f>
        <v>12830.696563792011</v>
      </c>
      <c r="L13" s="174">
        <f>IF(AC13="EKWRA",SUMIF('Antelope Bailey Split BA'!$B$7:$B$29,B13,'Antelope Bailey Split BA'!$AS$7:$AS$29),E13)</f>
        <v>238295.61605280172</v>
      </c>
      <c r="M13" s="174">
        <f>IF(AC13="EKWRA",SUMIF('Antelope Bailey Split BA'!$B$7:$B$29,B13,'Antelope Bailey Split BA'!$AT$7:$AT$29),F13)</f>
        <v>5202475.6434176387</v>
      </c>
      <c r="N13" s="363">
        <f t="shared" si="4"/>
        <v>0</v>
      </c>
      <c r="O13" s="20" t="str">
        <f t="shared" si="0"/>
        <v>Mix</v>
      </c>
      <c r="P13" s="43" t="s">
        <v>1477</v>
      </c>
      <c r="R13" s="41">
        <f t="shared" si="1"/>
        <v>1116837.2939657676</v>
      </c>
      <c r="S13" s="41">
        <f t="shared" si="2"/>
        <v>3074.3734362079886</v>
      </c>
      <c r="T13" s="41">
        <f t="shared" si="5"/>
        <v>1113762.9205295595</v>
      </c>
      <c r="U13" s="41"/>
      <c r="V13" s="44" t="str">
        <f>IF($P13="High",$S13,IF($P13="Mix",SUMIF('High_Low Voltage Mix Summary'!$B$10:$B$17,$B618,'High_Low Voltage Mix Summary'!$D$10:$D$17),""))</f>
        <v/>
      </c>
      <c r="W13" s="44">
        <f>IF($P13="Low",$S13,IF($P13="Mix",SUMIF('High_Low Voltage Mix Summary'!$B$10:$B$17,$B618,'High_Low Voltage Mix Summary'!$E$10:$E$17),""))</f>
        <v>3074.3734362079886</v>
      </c>
      <c r="X13" s="44" t="str">
        <f>IF($P13="High",$T13,IF($P13="Mix",SUMIF('High_Low Voltage Mix Summary'!$B$10:$B$17,$B618,'High_Low Voltage Mix Summary'!$F$10:$F$17),""))</f>
        <v/>
      </c>
      <c r="Y13" s="44">
        <f>IF($P13="Low",$T13,IF($P13="Mix",SUMIF('High_Low Voltage Mix Summary'!$B$10:$B$17,$B618,'High_Low Voltage Mix Summary'!$G$10:$G$17),""))</f>
        <v>1113762.9205295595</v>
      </c>
      <c r="Z13" s="44" t="str">
        <f>IF(OR($P13="High",$P13="Low"),"",IF($P13="Mix",SUMIF('High_Low Voltage Mix Summary'!$B$10:$B$17,$B618,'High_Low Voltage Mix Summary'!$H$10:$H$17),""))</f>
        <v/>
      </c>
      <c r="AB13" s="49">
        <f>SUMIF('Antelope Bailey Split BA'!$B$7:$B$29,B13,'Antelope Bailey Split BA'!$C$7:$C$29)</f>
        <v>1</v>
      </c>
      <c r="AC13" s="49" t="str">
        <f>IF(AND(AB13=1,'Plant Total by Account'!$H$1=2),"EKWRA","")</f>
        <v>EKWRA</v>
      </c>
    </row>
    <row r="14" spans="1:29" x14ac:dyDescent="0.2">
      <c r="A14" s="39" t="s">
        <v>2603</v>
      </c>
      <c r="B14" s="132" t="s">
        <v>1255</v>
      </c>
      <c r="C14" s="40" t="s">
        <v>3334</v>
      </c>
      <c r="D14" s="53">
        <v>0</v>
      </c>
      <c r="E14" s="53">
        <v>610351.94000000018</v>
      </c>
      <c r="F14" s="53">
        <v>8828177.4900000021</v>
      </c>
      <c r="G14" s="578">
        <f>SUM(D14:F14)</f>
        <v>9438529.4300000016</v>
      </c>
      <c r="H14" s="174">
        <f>IF(AC14="EKWRA",SUMIF('Antelope Bailey Split BA'!$B$7:$B$29,B14,'Antelope Bailey Split BA'!$AO$7:$AO$29),0)</f>
        <v>0</v>
      </c>
      <c r="I14" s="174">
        <f>IF(AC14="EKWRA",SUMIF('Antelope Bailey Split BA'!$B$7:$B$29,B14,'Antelope Bailey Split BA'!$AP$7:$AP$29),0)</f>
        <v>227597.62265644516</v>
      </c>
      <c r="J14" s="174">
        <f>IF(AC14="EKWRA",SUMIF('Antelope Bailey Split BA'!$B$7:$B$29,B14,'Antelope Bailey Split BA'!$AQ$7:$AQ$29),0)</f>
        <v>3291832.6641748496</v>
      </c>
      <c r="K14" s="174">
        <f>IF(AC14="EKWRA",SUMIF('Antelope Bailey Split BA'!$B$7:$B$29,B14,'Antelope Bailey Split BA'!$AR$7:$AR$29),D14)</f>
        <v>0</v>
      </c>
      <c r="L14" s="174">
        <f>IF(AC14="EKWRA",SUMIF('Antelope Bailey Split BA'!$B$7:$B$29,B14,'Antelope Bailey Split BA'!$AS$7:$AS$29),E14)</f>
        <v>382754.31734355493</v>
      </c>
      <c r="M14" s="174">
        <f>IF(AC14="EKWRA",SUMIF('Antelope Bailey Split BA'!$B$7:$B$29,B14,'Antelope Bailey Split BA'!$AT$7:$AT$29),F14)</f>
        <v>5536344.825825152</v>
      </c>
      <c r="N14" s="363">
        <f>G14-SUM(H14:M14)</f>
        <v>0</v>
      </c>
      <c r="O14" s="20" t="str">
        <f t="shared" si="0"/>
        <v>Mix</v>
      </c>
      <c r="P14" s="43" t="s">
        <v>1477</v>
      </c>
      <c r="R14" s="41">
        <f t="shared" si="1"/>
        <v>3519430.2868312947</v>
      </c>
      <c r="S14" s="41">
        <f t="shared" si="2"/>
        <v>0</v>
      </c>
      <c r="T14" s="41">
        <f>SUM(I14:J14)</f>
        <v>3519430.2868312947</v>
      </c>
      <c r="U14" s="41"/>
      <c r="V14" s="44" t="str">
        <f>IF($P14="High",$S14,IF($P14="Mix",SUMIF('High_Low Voltage Mix Summary'!$B$10:$B$17,$B797,'High_Low Voltage Mix Summary'!$D$10:$D$17),""))</f>
        <v/>
      </c>
      <c r="W14" s="44">
        <f>IF($P14="Low",$S14,IF($P14="Mix",SUMIF('High_Low Voltage Mix Summary'!$B$10:$B$17,$B797,'High_Low Voltage Mix Summary'!$E$10:$E$17),""))</f>
        <v>0</v>
      </c>
      <c r="X14" s="44" t="str">
        <f>IF($P14="High",$T14,IF($P14="Mix",SUMIF('High_Low Voltage Mix Summary'!$B$10:$B$17,$B797,'High_Low Voltage Mix Summary'!$F$10:$F$17),""))</f>
        <v/>
      </c>
      <c r="Y14" s="44">
        <f>IF($P14="Low",$T14,IF($P14="Mix",SUMIF('High_Low Voltage Mix Summary'!$B$10:$B$17,$B797,'High_Low Voltage Mix Summary'!$G$10:$G$17),""))</f>
        <v>3519430.2868312947</v>
      </c>
      <c r="Z14" s="44" t="str">
        <f>IF(OR($P14="High",$P14="Low"),"",IF($P14="Mix",SUMIF('High_Low Voltage Mix Summary'!$B$10:$B$17,$B797,'High_Low Voltage Mix Summary'!$H$10:$H$17),""))</f>
        <v/>
      </c>
      <c r="AB14" s="49">
        <f>SUMIF('Antelope Bailey Split BA'!$B$7:$B$29,B14,'Antelope Bailey Split BA'!$C$7:$C$29)</f>
        <v>1</v>
      </c>
      <c r="AC14" s="49" t="str">
        <f>IF(AND(AB14=1,'Plant Total by Account'!$H$1=2),"EKWRA","")</f>
        <v>EKWRA</v>
      </c>
    </row>
    <row r="15" spans="1:29" x14ac:dyDescent="0.2">
      <c r="A15" s="39" t="s">
        <v>2630</v>
      </c>
      <c r="B15" s="40" t="s">
        <v>120</v>
      </c>
      <c r="C15" s="40" t="s">
        <v>3334</v>
      </c>
      <c r="D15" s="53">
        <v>0</v>
      </c>
      <c r="E15" s="53">
        <v>0</v>
      </c>
      <c r="F15" s="53">
        <v>61855.119999999995</v>
      </c>
      <c r="G15" s="578">
        <f t="shared" si="3"/>
        <v>61855.119999999995</v>
      </c>
      <c r="H15" s="41"/>
      <c r="I15" s="41"/>
      <c r="J15" s="41"/>
      <c r="K15" s="41">
        <f t="shared" ref="K15:K78" si="6">D15</f>
        <v>0</v>
      </c>
      <c r="L15" s="41">
        <f t="shared" ref="L15:L78" si="7">E15</f>
        <v>0</v>
      </c>
      <c r="M15" s="41">
        <f t="shared" ref="M15:M78" si="8">F15</f>
        <v>61855.119999999995</v>
      </c>
      <c r="N15" s="363">
        <f t="shared" si="4"/>
        <v>0</v>
      </c>
      <c r="O15" s="43" t="s">
        <v>3309</v>
      </c>
      <c r="P15" s="43"/>
      <c r="R15" s="41">
        <f t="shared" ref="R15:R32" si="9">SUM(I15:J15)</f>
        <v>0</v>
      </c>
      <c r="S15" s="41">
        <f t="shared" ref="S15:S32" si="10">I15</f>
        <v>0</v>
      </c>
      <c r="T15" s="41">
        <f t="shared" si="5"/>
        <v>0</v>
      </c>
      <c r="U15" s="41"/>
      <c r="V15" s="44" t="str">
        <f>IF($P15="High",$S15,IF($P15="Mix",SUMIF('High_Low Voltage Mix Summary'!$B$10:$B$17,$B549,'High_Low Voltage Mix Summary'!$D$10:$D$17),""))</f>
        <v/>
      </c>
      <c r="W15" s="44" t="str">
        <f>IF($P15="Low",$S15,IF($P15="Mix",SUMIF('High_Low Voltage Mix Summary'!$B$10:$B$17,$B549,'High_Low Voltage Mix Summary'!$E$10:$E$17),""))</f>
        <v/>
      </c>
      <c r="X15" s="44" t="str">
        <f>IF($P15="High",$T15,IF($P15="Mix",SUMIF('High_Low Voltage Mix Summary'!$B$10:$B$17,$B549,'High_Low Voltage Mix Summary'!$F$10:$F$17),""))</f>
        <v/>
      </c>
      <c r="Y15" s="44" t="str">
        <f>IF($P15="Low",$T15,IF($P15="Mix",SUMIF('High_Low Voltage Mix Summary'!$B$10:$B$17,$B549,'High_Low Voltage Mix Summary'!$G$10:$G$17),""))</f>
        <v/>
      </c>
      <c r="Z15" s="44" t="str">
        <f>IF(OR($P15="High",$P15="Low"),"",IF($P15="Mix",SUMIF('High_Low Voltage Mix Summary'!$B$10:$B$17,$B549,'High_Low Voltage Mix Summary'!$H$10:$H$17),""))</f>
        <v/>
      </c>
      <c r="AB15" s="49">
        <f>SUMIF('Antelope Bailey Split BA'!$B$7:$B$29,B15,'Antelope Bailey Split BA'!$C$7:$C$29)</f>
        <v>0</v>
      </c>
      <c r="AC15" s="49" t="str">
        <f>IF(AND(AB15=1,'Plant Total by Account'!$H$1=2),"EKWRA","")</f>
        <v/>
      </c>
    </row>
    <row r="16" spans="1:29" x14ac:dyDescent="0.2">
      <c r="A16" s="39" t="s">
        <v>2616</v>
      </c>
      <c r="B16" s="45" t="s">
        <v>140</v>
      </c>
      <c r="C16" s="40" t="s">
        <v>3334</v>
      </c>
      <c r="D16" s="53">
        <v>0</v>
      </c>
      <c r="E16" s="53">
        <v>0</v>
      </c>
      <c r="F16" s="53">
        <v>56092.58</v>
      </c>
      <c r="G16" s="578">
        <f t="shared" si="3"/>
        <v>56092.58</v>
      </c>
      <c r="H16" s="41"/>
      <c r="I16" s="41"/>
      <c r="J16" s="41"/>
      <c r="K16" s="41">
        <f t="shared" si="6"/>
        <v>0</v>
      </c>
      <c r="L16" s="41">
        <f t="shared" si="7"/>
        <v>0</v>
      </c>
      <c r="M16" s="41">
        <f t="shared" si="8"/>
        <v>56092.58</v>
      </c>
      <c r="N16" s="363">
        <f t="shared" si="4"/>
        <v>0</v>
      </c>
      <c r="O16" s="43" t="s">
        <v>3309</v>
      </c>
      <c r="P16" s="43"/>
      <c r="R16" s="41">
        <f t="shared" si="9"/>
        <v>0</v>
      </c>
      <c r="S16" s="41">
        <f t="shared" si="10"/>
        <v>0</v>
      </c>
      <c r="T16" s="41">
        <f t="shared" si="5"/>
        <v>0</v>
      </c>
      <c r="U16" s="41"/>
      <c r="V16" s="44" t="str">
        <f>IF($P16="High",$S16,IF($P16="Mix",SUMIF('High_Low Voltage Mix Summary'!$B$10:$B$17,$B550,'High_Low Voltage Mix Summary'!$D$10:$D$17),""))</f>
        <v/>
      </c>
      <c r="W16" s="44" t="str">
        <f>IF($P16="Low",$S16,IF($P16="Mix",SUMIF('High_Low Voltage Mix Summary'!$B$10:$B$17,$B550,'High_Low Voltage Mix Summary'!$E$10:$E$17),""))</f>
        <v/>
      </c>
      <c r="X16" s="44" t="str">
        <f>IF($P16="High",$T16,IF($P16="Mix",SUMIF('High_Low Voltage Mix Summary'!$B$10:$B$17,$B550,'High_Low Voltage Mix Summary'!$F$10:$F$17),""))</f>
        <v/>
      </c>
      <c r="Y16" s="44" t="str">
        <f>IF($P16="Low",$T16,IF($P16="Mix",SUMIF('High_Low Voltage Mix Summary'!$B$10:$B$17,$B550,'High_Low Voltage Mix Summary'!$G$10:$G$17),""))</f>
        <v/>
      </c>
      <c r="Z16" s="44" t="str">
        <f>IF(OR($P16="High",$P16="Low"),"",IF($P16="Mix",SUMIF('High_Low Voltage Mix Summary'!$B$10:$B$17,$B550,'High_Low Voltage Mix Summary'!$H$10:$H$17),""))</f>
        <v/>
      </c>
      <c r="AB16" s="49">
        <f>SUMIF('Antelope Bailey Split BA'!$B$7:$B$29,B16,'Antelope Bailey Split BA'!$C$7:$C$29)</f>
        <v>0</v>
      </c>
      <c r="AC16" s="49" t="str">
        <f>IF(AND(AB16=1,'Plant Total by Account'!$H$1=2),"EKWRA","")</f>
        <v/>
      </c>
    </row>
    <row r="17" spans="1:29" x14ac:dyDescent="0.2">
      <c r="A17" s="39" t="s">
        <v>2262</v>
      </c>
      <c r="B17" s="45" t="s">
        <v>141</v>
      </c>
      <c r="C17" s="40" t="s">
        <v>3333</v>
      </c>
      <c r="D17" s="53">
        <v>0</v>
      </c>
      <c r="E17" s="53">
        <v>0</v>
      </c>
      <c r="F17" s="53">
        <v>99245.03</v>
      </c>
      <c r="G17" s="578">
        <f t="shared" si="3"/>
        <v>99245.03</v>
      </c>
      <c r="H17" s="41"/>
      <c r="I17" s="41"/>
      <c r="J17" s="41"/>
      <c r="K17" s="41">
        <f t="shared" si="6"/>
        <v>0</v>
      </c>
      <c r="L17" s="41">
        <f t="shared" si="7"/>
        <v>0</v>
      </c>
      <c r="M17" s="41">
        <f t="shared" si="8"/>
        <v>99245.03</v>
      </c>
      <c r="N17" s="363">
        <f t="shared" si="4"/>
        <v>0</v>
      </c>
      <c r="O17" s="43" t="s">
        <v>3309</v>
      </c>
      <c r="P17" s="43"/>
      <c r="R17" s="41">
        <f t="shared" si="9"/>
        <v>0</v>
      </c>
      <c r="S17" s="41">
        <f t="shared" si="10"/>
        <v>0</v>
      </c>
      <c r="T17" s="41">
        <f t="shared" si="5"/>
        <v>0</v>
      </c>
      <c r="U17" s="41"/>
      <c r="V17" s="44" t="str">
        <f>IF($P17="High",$S17,IF($P17="Mix",SUMIF('High_Low Voltage Mix Summary'!$B$10:$B$17,$B551,'High_Low Voltage Mix Summary'!$D$10:$D$17),""))</f>
        <v/>
      </c>
      <c r="W17" s="44" t="str">
        <f>IF($P17="Low",$S17,IF($P17="Mix",SUMIF('High_Low Voltage Mix Summary'!$B$10:$B$17,$B551,'High_Low Voltage Mix Summary'!$E$10:$E$17),""))</f>
        <v/>
      </c>
      <c r="X17" s="44" t="str">
        <f>IF($P17="High",$T17,IF($P17="Mix",SUMIF('High_Low Voltage Mix Summary'!$B$10:$B$17,$B551,'High_Low Voltage Mix Summary'!$F$10:$F$17),""))</f>
        <v/>
      </c>
      <c r="Y17" s="44" t="str">
        <f>IF($P17="Low",$T17,IF($P17="Mix",SUMIF('High_Low Voltage Mix Summary'!$B$10:$B$17,$B551,'High_Low Voltage Mix Summary'!$G$10:$G$17),""))</f>
        <v/>
      </c>
      <c r="Z17" s="44" t="str">
        <f>IF(OR($P17="High",$P17="Low"),"",IF($P17="Mix",SUMIF('High_Low Voltage Mix Summary'!$B$10:$B$17,$B551,'High_Low Voltage Mix Summary'!$H$10:$H$17),""))</f>
        <v/>
      </c>
      <c r="AB17" s="49">
        <f>SUMIF('Antelope Bailey Split BA'!$B$7:$B$29,B17,'Antelope Bailey Split BA'!$C$7:$C$29)</f>
        <v>0</v>
      </c>
      <c r="AC17" s="49" t="str">
        <f>IF(AND(AB17=1,'Plant Total by Account'!$H$1=2),"EKWRA","")</f>
        <v/>
      </c>
    </row>
    <row r="18" spans="1:29" x14ac:dyDescent="0.2">
      <c r="A18" s="39" t="s">
        <v>2263</v>
      </c>
      <c r="B18" s="40" t="s">
        <v>121</v>
      </c>
      <c r="C18" s="40" t="s">
        <v>3331</v>
      </c>
      <c r="D18" s="53">
        <v>0</v>
      </c>
      <c r="E18" s="53">
        <v>218338.21000000002</v>
      </c>
      <c r="F18" s="53">
        <v>30211.68</v>
      </c>
      <c r="G18" s="578">
        <f t="shared" si="3"/>
        <v>248549.89</v>
      </c>
      <c r="H18" s="173"/>
      <c r="I18" s="173"/>
      <c r="J18" s="173"/>
      <c r="K18" s="173">
        <f t="shared" si="6"/>
        <v>0</v>
      </c>
      <c r="L18" s="173">
        <f t="shared" si="7"/>
        <v>218338.21000000002</v>
      </c>
      <c r="M18" s="173">
        <f t="shared" si="8"/>
        <v>30211.68</v>
      </c>
      <c r="N18" s="363">
        <f t="shared" si="4"/>
        <v>0</v>
      </c>
      <c r="O18" s="43" t="s">
        <v>3309</v>
      </c>
      <c r="P18" s="43"/>
      <c r="R18" s="41">
        <f t="shared" si="9"/>
        <v>0</v>
      </c>
      <c r="S18" s="41">
        <f t="shared" si="10"/>
        <v>0</v>
      </c>
      <c r="T18" s="41">
        <f t="shared" si="5"/>
        <v>0</v>
      </c>
      <c r="U18" s="41"/>
      <c r="V18" s="44" t="str">
        <f>IF($P18="High",$S18,IF($P18="Mix",SUMIF('High_Low Voltage Mix Summary'!$B$10:$B$17,#REF!,'High_Low Voltage Mix Summary'!$D$10:$D$17),""))</f>
        <v/>
      </c>
      <c r="W18" s="44" t="str">
        <f>IF($P18="Low",$S18,IF($P18="Mix",SUMIF('High_Low Voltage Mix Summary'!$B$10:$B$17,#REF!,'High_Low Voltage Mix Summary'!$E$10:$E$17),""))</f>
        <v/>
      </c>
      <c r="X18" s="44" t="str">
        <f>IF($P18="High",$T18,IF($P18="Mix",SUMIF('High_Low Voltage Mix Summary'!$B$10:$B$17,#REF!,'High_Low Voltage Mix Summary'!$F$10:$F$17),""))</f>
        <v/>
      </c>
      <c r="Y18" s="44" t="str">
        <f>IF($P18="Low",$T18,IF($P18="Mix",SUMIF('High_Low Voltage Mix Summary'!$B$10:$B$17,#REF!,'High_Low Voltage Mix Summary'!$G$10:$G$17),""))</f>
        <v/>
      </c>
      <c r="Z18" s="44" t="str">
        <f>IF(OR($P18="High",$P18="Low"),"",IF($P18="Mix",SUMIF('High_Low Voltage Mix Summary'!$B$10:$B$17,#REF!,'High_Low Voltage Mix Summary'!$H$10:$H$17),""))</f>
        <v/>
      </c>
      <c r="AB18" s="49">
        <f>SUMIF('Antelope Bailey Split BA'!$B$7:$B$29,B18,'Antelope Bailey Split BA'!$C$7:$C$29)</f>
        <v>0</v>
      </c>
      <c r="AC18" s="49" t="str">
        <f>IF(AND(AB18=1,'Plant Total by Account'!$H$1=2),"EKWRA","")</f>
        <v/>
      </c>
    </row>
    <row r="19" spans="1:29" x14ac:dyDescent="0.2">
      <c r="A19" s="39" t="s">
        <v>2265</v>
      </c>
      <c r="B19" s="45" t="s">
        <v>142</v>
      </c>
      <c r="C19" s="40" t="s">
        <v>3331</v>
      </c>
      <c r="D19" s="53">
        <v>0</v>
      </c>
      <c r="E19" s="53">
        <v>0</v>
      </c>
      <c r="F19" s="53">
        <v>99855.510000000009</v>
      </c>
      <c r="G19" s="578">
        <f t="shared" si="3"/>
        <v>99855.510000000009</v>
      </c>
      <c r="H19" s="173"/>
      <c r="I19" s="173"/>
      <c r="J19" s="173"/>
      <c r="K19" s="173">
        <f t="shared" si="6"/>
        <v>0</v>
      </c>
      <c r="L19" s="173">
        <f t="shared" si="7"/>
        <v>0</v>
      </c>
      <c r="M19" s="173">
        <f t="shared" si="8"/>
        <v>99855.510000000009</v>
      </c>
      <c r="N19" s="363">
        <f t="shared" si="4"/>
        <v>0</v>
      </c>
      <c r="O19" s="43" t="s">
        <v>3309</v>
      </c>
      <c r="P19" s="43"/>
      <c r="R19" s="41">
        <f t="shared" si="9"/>
        <v>0</v>
      </c>
      <c r="S19" s="41">
        <f t="shared" si="10"/>
        <v>0</v>
      </c>
      <c r="T19" s="41">
        <f t="shared" si="5"/>
        <v>0</v>
      </c>
      <c r="U19" s="41"/>
      <c r="V19" s="44" t="str">
        <f>IF($P19="High",$S19,IF($P19="Mix",SUMIF('High_Low Voltage Mix Summary'!$B$10:$B$17,$B549,'High_Low Voltage Mix Summary'!$D$10:$D$17),""))</f>
        <v/>
      </c>
      <c r="W19" s="44" t="str">
        <f>IF($P19="Low",$S19,IF($P19="Mix",SUMIF('High_Low Voltage Mix Summary'!$B$10:$B$17,$B549,'High_Low Voltage Mix Summary'!$E$10:$E$17),""))</f>
        <v/>
      </c>
      <c r="X19" s="44" t="str">
        <f>IF($P19="High",$T19,IF($P19="Mix",SUMIF('High_Low Voltage Mix Summary'!$B$10:$B$17,$B549,'High_Low Voltage Mix Summary'!$F$10:$F$17),""))</f>
        <v/>
      </c>
      <c r="Y19" s="44" t="str">
        <f>IF($P19="Low",$T19,IF($P19="Mix",SUMIF('High_Low Voltage Mix Summary'!$B$10:$B$17,$B549,'High_Low Voltage Mix Summary'!$G$10:$G$17),""))</f>
        <v/>
      </c>
      <c r="Z19" s="44" t="str">
        <f>IF(OR($P19="High",$P19="Low"),"",IF($P19="Mix",SUMIF('High_Low Voltage Mix Summary'!$B$10:$B$17,$B549,'High_Low Voltage Mix Summary'!$H$10:$H$17),""))</f>
        <v/>
      </c>
      <c r="AB19" s="49">
        <f>SUMIF('Antelope Bailey Split BA'!$B$7:$B$29,B19,'Antelope Bailey Split BA'!$C$7:$C$29)</f>
        <v>0</v>
      </c>
      <c r="AC19" s="49" t="str">
        <f>IF(AND(AB19=1,'Plant Total by Account'!$H$1=2),"EKWRA","")</f>
        <v/>
      </c>
    </row>
    <row r="20" spans="1:29" x14ac:dyDescent="0.2">
      <c r="A20" s="39" t="s">
        <v>2266</v>
      </c>
      <c r="B20" s="45" t="s">
        <v>143</v>
      </c>
      <c r="C20" s="40" t="s">
        <v>3331</v>
      </c>
      <c r="D20" s="53">
        <v>0</v>
      </c>
      <c r="E20" s="53">
        <v>0</v>
      </c>
      <c r="F20" s="53">
        <v>271299.11</v>
      </c>
      <c r="G20" s="578">
        <f t="shared" si="3"/>
        <v>271299.11</v>
      </c>
      <c r="H20" s="173"/>
      <c r="I20" s="173"/>
      <c r="J20" s="173"/>
      <c r="K20" s="173">
        <f t="shared" si="6"/>
        <v>0</v>
      </c>
      <c r="L20" s="173">
        <f t="shared" si="7"/>
        <v>0</v>
      </c>
      <c r="M20" s="173">
        <f t="shared" si="8"/>
        <v>271299.11</v>
      </c>
      <c r="N20" s="363">
        <f t="shared" si="4"/>
        <v>0</v>
      </c>
      <c r="O20" s="43" t="s">
        <v>3309</v>
      </c>
      <c r="P20" s="43"/>
      <c r="R20" s="41">
        <f t="shared" si="9"/>
        <v>0</v>
      </c>
      <c r="S20" s="41">
        <f t="shared" si="10"/>
        <v>0</v>
      </c>
      <c r="T20" s="41">
        <f t="shared" si="5"/>
        <v>0</v>
      </c>
      <c r="U20" s="41"/>
      <c r="V20" s="44" t="str">
        <f>IF($P20="High",$S20,IF($P20="Mix",SUMIF('High_Low Voltage Mix Summary'!$B$10:$B$17,$B775,'High_Low Voltage Mix Summary'!$D$10:$D$17),""))</f>
        <v/>
      </c>
      <c r="W20" s="44" t="str">
        <f>IF($P20="Low",$S20,IF($P20="Mix",SUMIF('High_Low Voltage Mix Summary'!$B$10:$B$17,$B775,'High_Low Voltage Mix Summary'!$E$10:$E$17),""))</f>
        <v/>
      </c>
      <c r="X20" s="44" t="str">
        <f>IF($P20="High",$T20,IF($P20="Mix",SUMIF('High_Low Voltage Mix Summary'!$B$10:$B$17,$B775,'High_Low Voltage Mix Summary'!$F$10:$F$17),""))</f>
        <v/>
      </c>
      <c r="Y20" s="44" t="str">
        <f>IF($P20="Low",$T20,IF($P20="Mix",SUMIF('High_Low Voltage Mix Summary'!$B$10:$B$17,$B775,'High_Low Voltage Mix Summary'!$G$10:$G$17),""))</f>
        <v/>
      </c>
      <c r="Z20" s="44" t="str">
        <f>IF(OR($P20="High",$P20="Low"),"",IF($P20="Mix",SUMIF('High_Low Voltage Mix Summary'!$B$10:$B$17,$B775,'High_Low Voltage Mix Summary'!$H$10:$H$17),""))</f>
        <v/>
      </c>
      <c r="AB20" s="49">
        <f>SUMIF('Antelope Bailey Split BA'!$B$7:$B$29,B20,'Antelope Bailey Split BA'!$C$7:$C$29)</f>
        <v>0</v>
      </c>
      <c r="AC20" s="49" t="str">
        <f>IF(AND(AB20=1,'Plant Total by Account'!$H$1=2),"EKWRA","")</f>
        <v/>
      </c>
    </row>
    <row r="21" spans="1:29" x14ac:dyDescent="0.2">
      <c r="A21" s="39" t="s">
        <v>2267</v>
      </c>
      <c r="B21" s="45" t="s">
        <v>144</v>
      </c>
      <c r="C21" s="40" t="s">
        <v>3331</v>
      </c>
      <c r="D21" s="53">
        <v>0</v>
      </c>
      <c r="E21" s="53">
        <v>0</v>
      </c>
      <c r="F21" s="53">
        <v>46173.16</v>
      </c>
      <c r="G21" s="578">
        <f t="shared" si="3"/>
        <v>46173.16</v>
      </c>
      <c r="H21" s="173"/>
      <c r="I21" s="173"/>
      <c r="J21" s="173"/>
      <c r="K21" s="173">
        <f t="shared" si="6"/>
        <v>0</v>
      </c>
      <c r="L21" s="173">
        <f t="shared" si="7"/>
        <v>0</v>
      </c>
      <c r="M21" s="173">
        <f t="shared" si="8"/>
        <v>46173.16</v>
      </c>
      <c r="N21" s="363">
        <f t="shared" si="4"/>
        <v>0</v>
      </c>
      <c r="O21" s="43" t="s">
        <v>3309</v>
      </c>
      <c r="P21" s="43"/>
      <c r="R21" s="41">
        <f t="shared" si="9"/>
        <v>0</v>
      </c>
      <c r="S21" s="41">
        <f t="shared" si="10"/>
        <v>0</v>
      </c>
      <c r="T21" s="41">
        <f t="shared" si="5"/>
        <v>0</v>
      </c>
      <c r="U21" s="41"/>
      <c r="V21" s="44" t="str">
        <f>IF($P21="High",$S21,IF($P21="Mix",SUMIF('High_Low Voltage Mix Summary'!$B$10:$B$17,$B568,'High_Low Voltage Mix Summary'!$D$10:$D$17),""))</f>
        <v/>
      </c>
      <c r="W21" s="44" t="str">
        <f>IF($P21="Low",$S21,IF($P21="Mix",SUMIF('High_Low Voltage Mix Summary'!$B$10:$B$17,$B568,'High_Low Voltage Mix Summary'!$E$10:$E$17),""))</f>
        <v/>
      </c>
      <c r="X21" s="44" t="str">
        <f>IF($P21="High",$T21,IF($P21="Mix",SUMIF('High_Low Voltage Mix Summary'!$B$10:$B$17,$B568,'High_Low Voltage Mix Summary'!$F$10:$F$17),""))</f>
        <v/>
      </c>
      <c r="Y21" s="44" t="str">
        <f>IF($P21="Low",$T21,IF($P21="Mix",SUMIF('High_Low Voltage Mix Summary'!$B$10:$B$17,$B568,'High_Low Voltage Mix Summary'!$G$10:$G$17),""))</f>
        <v/>
      </c>
      <c r="Z21" s="44" t="str">
        <f>IF(OR($P21="High",$P21="Low"),"",IF($P21="Mix",SUMIF('High_Low Voltage Mix Summary'!$B$10:$B$17,$B568,'High_Low Voltage Mix Summary'!$H$10:$H$17),""))</f>
        <v/>
      </c>
      <c r="AA21" s="48"/>
      <c r="AB21" s="49">
        <f>SUMIF('Antelope Bailey Split BA'!$B$7:$B$29,B21,'Antelope Bailey Split BA'!$C$7:$C$29)</f>
        <v>0</v>
      </c>
      <c r="AC21" s="49" t="str">
        <f>IF(AND(AB21=1,'Plant Total by Account'!$H$1=2),"EKWRA","")</f>
        <v/>
      </c>
    </row>
    <row r="22" spans="1:29" x14ac:dyDescent="0.2">
      <c r="A22" s="39" t="s">
        <v>2269</v>
      </c>
      <c r="B22" s="40" t="s">
        <v>122</v>
      </c>
      <c r="C22" s="40" t="s">
        <v>3333</v>
      </c>
      <c r="D22" s="53">
        <v>0</v>
      </c>
      <c r="E22" s="53">
        <v>0</v>
      </c>
      <c r="F22" s="53">
        <v>26635.75</v>
      </c>
      <c r="G22" s="578">
        <f t="shared" si="3"/>
        <v>26635.75</v>
      </c>
      <c r="H22" s="41"/>
      <c r="I22" s="41"/>
      <c r="J22" s="41"/>
      <c r="K22" s="41">
        <f t="shared" si="6"/>
        <v>0</v>
      </c>
      <c r="L22" s="41">
        <f t="shared" si="7"/>
        <v>0</v>
      </c>
      <c r="M22" s="41">
        <f t="shared" si="8"/>
        <v>26635.75</v>
      </c>
      <c r="N22" s="363">
        <f t="shared" si="4"/>
        <v>0</v>
      </c>
      <c r="O22" s="43" t="s">
        <v>3309</v>
      </c>
      <c r="P22" s="43"/>
      <c r="R22" s="41">
        <f t="shared" si="9"/>
        <v>0</v>
      </c>
      <c r="S22" s="41">
        <f t="shared" si="10"/>
        <v>0</v>
      </c>
      <c r="T22" s="41">
        <f t="shared" si="5"/>
        <v>0</v>
      </c>
      <c r="U22" s="41"/>
      <c r="V22" s="44" t="str">
        <f>IF($P22="High",$S22,IF($P22="Mix",SUMIF('High_Low Voltage Mix Summary'!$B$10:$B$17,$B608,'High_Low Voltage Mix Summary'!$D$10:$D$17),""))</f>
        <v/>
      </c>
      <c r="W22" s="44" t="str">
        <f>IF($P22="Low",$S22,IF($P22="Mix",SUMIF('High_Low Voltage Mix Summary'!$B$10:$B$17,$B608,'High_Low Voltage Mix Summary'!$E$10:$E$17),""))</f>
        <v/>
      </c>
      <c r="X22" s="44" t="str">
        <f>IF($P22="High",$T22,IF($P22="Mix",SUMIF('High_Low Voltage Mix Summary'!$B$10:$B$17,$B608,'High_Low Voltage Mix Summary'!$F$10:$F$17),""))</f>
        <v/>
      </c>
      <c r="Y22" s="44" t="str">
        <f>IF($P22="Low",$T22,IF($P22="Mix",SUMIF('High_Low Voltage Mix Summary'!$B$10:$B$17,$B608,'High_Low Voltage Mix Summary'!$G$10:$G$17),""))</f>
        <v/>
      </c>
      <c r="Z22" s="44" t="str">
        <f>IF(OR($P22="High",$P22="Low"),"",IF($P22="Mix",SUMIF('High_Low Voltage Mix Summary'!$B$10:$B$17,$B608,'High_Low Voltage Mix Summary'!$H$10:$H$17),""))</f>
        <v/>
      </c>
      <c r="AB22" s="49">
        <f>SUMIF('Antelope Bailey Split BA'!$B$7:$B$29,B22,'Antelope Bailey Split BA'!$C$7:$C$29)</f>
        <v>0</v>
      </c>
      <c r="AC22" s="49" t="str">
        <f>IF(AND(AB22=1,'Plant Total by Account'!$H$1=2),"EKWRA","")</f>
        <v/>
      </c>
    </row>
    <row r="23" spans="1:29" x14ac:dyDescent="0.2">
      <c r="A23" s="39" t="s">
        <v>2270</v>
      </c>
      <c r="B23" s="45" t="s">
        <v>145</v>
      </c>
      <c r="C23" s="40" t="s">
        <v>3331</v>
      </c>
      <c r="D23" s="53">
        <v>0</v>
      </c>
      <c r="E23" s="53">
        <v>0</v>
      </c>
      <c r="F23" s="53">
        <v>66509.62</v>
      </c>
      <c r="G23" s="578">
        <f t="shared" si="3"/>
        <v>66509.62</v>
      </c>
      <c r="H23" s="41"/>
      <c r="I23" s="41"/>
      <c r="J23" s="41"/>
      <c r="K23" s="41">
        <f t="shared" si="6"/>
        <v>0</v>
      </c>
      <c r="L23" s="41">
        <f t="shared" si="7"/>
        <v>0</v>
      </c>
      <c r="M23" s="41">
        <f t="shared" si="8"/>
        <v>66509.62</v>
      </c>
      <c r="N23" s="363">
        <f t="shared" si="4"/>
        <v>0</v>
      </c>
      <c r="O23" s="43" t="s">
        <v>3309</v>
      </c>
      <c r="P23" s="43"/>
      <c r="R23" s="41">
        <f t="shared" si="9"/>
        <v>0</v>
      </c>
      <c r="S23" s="41">
        <f t="shared" si="10"/>
        <v>0</v>
      </c>
      <c r="T23" s="41">
        <f t="shared" si="5"/>
        <v>0</v>
      </c>
      <c r="U23" s="41"/>
      <c r="V23" s="44" t="str">
        <f>IF($P23="High",$S23,IF($P23="Mix",SUMIF('High_Low Voltage Mix Summary'!$B$10:$B$17,$B551,'High_Low Voltage Mix Summary'!$D$10:$D$17),""))</f>
        <v/>
      </c>
      <c r="W23" s="44" t="str">
        <f>IF($P23="Low",$S23,IF($P23="Mix",SUMIF('High_Low Voltage Mix Summary'!$B$10:$B$17,$B551,'High_Low Voltage Mix Summary'!$E$10:$E$17),""))</f>
        <v/>
      </c>
      <c r="X23" s="44" t="str">
        <f>IF($P23="High",$T23,IF($P23="Mix",SUMIF('High_Low Voltage Mix Summary'!$B$10:$B$17,$B551,'High_Low Voltage Mix Summary'!$F$10:$F$17),""))</f>
        <v/>
      </c>
      <c r="Y23" s="44" t="str">
        <f>IF($P23="Low",$T23,IF($P23="Mix",SUMIF('High_Low Voltage Mix Summary'!$B$10:$B$17,$B551,'High_Low Voltage Mix Summary'!$G$10:$G$17),""))</f>
        <v/>
      </c>
      <c r="Z23" s="44" t="str">
        <f>IF(OR($P23="High",$P23="Low"),"",IF($P23="Mix",SUMIF('High_Low Voltage Mix Summary'!$B$10:$B$17,$B551,'High_Low Voltage Mix Summary'!$H$10:$H$17),""))</f>
        <v/>
      </c>
      <c r="AB23" s="49">
        <f>SUMIF('Antelope Bailey Split BA'!$B$7:$B$29,B23,'Antelope Bailey Split BA'!$C$7:$C$29)</f>
        <v>0</v>
      </c>
      <c r="AC23" s="49" t="str">
        <f>IF(AND(AB23=1,'Plant Total by Account'!$H$1=2),"EKWRA","")</f>
        <v/>
      </c>
    </row>
    <row r="24" spans="1:29" x14ac:dyDescent="0.2">
      <c r="A24" s="39" t="s">
        <v>3288</v>
      </c>
      <c r="B24" s="40" t="s">
        <v>123</v>
      </c>
      <c r="C24" s="40"/>
      <c r="D24" s="53">
        <v>0</v>
      </c>
      <c r="E24" s="53">
        <v>9117.44</v>
      </c>
      <c r="F24" s="53">
        <v>0</v>
      </c>
      <c r="G24" s="578">
        <f t="shared" si="3"/>
        <v>9117.44</v>
      </c>
      <c r="H24" s="173"/>
      <c r="I24" s="173"/>
      <c r="J24" s="173"/>
      <c r="K24" s="173">
        <f t="shared" si="6"/>
        <v>0</v>
      </c>
      <c r="L24" s="173">
        <f t="shared" si="7"/>
        <v>9117.44</v>
      </c>
      <c r="M24" s="173">
        <f t="shared" si="8"/>
        <v>0</v>
      </c>
      <c r="N24" s="363">
        <f t="shared" si="4"/>
        <v>0</v>
      </c>
      <c r="O24" s="43" t="s">
        <v>3309</v>
      </c>
      <c r="P24" s="43"/>
      <c r="R24" s="41">
        <f t="shared" si="9"/>
        <v>0</v>
      </c>
      <c r="S24" s="41">
        <f t="shared" si="10"/>
        <v>0</v>
      </c>
      <c r="T24" s="41">
        <f t="shared" si="5"/>
        <v>0</v>
      </c>
      <c r="U24" s="41"/>
      <c r="V24" s="44" t="str">
        <f>IF($P24="High",$S24,IF($P24="Mix",SUMIF('High_Low Voltage Mix Summary'!$B$10:$B$17,#REF!,'High_Low Voltage Mix Summary'!$D$10:$D$17),""))</f>
        <v/>
      </c>
      <c r="W24" s="44" t="str">
        <f>IF($P24="Low",$S24,IF($P24="Mix",SUMIF('High_Low Voltage Mix Summary'!$B$10:$B$17,#REF!,'High_Low Voltage Mix Summary'!$E$10:$E$17),""))</f>
        <v/>
      </c>
      <c r="X24" s="44" t="str">
        <f>IF($P24="High",$T24,IF($P24="Mix",SUMIF('High_Low Voltage Mix Summary'!$B$10:$B$17,#REF!,'High_Low Voltage Mix Summary'!$F$10:$F$17),""))</f>
        <v/>
      </c>
      <c r="Y24" s="44" t="str">
        <f>IF($P24="Low",$T24,IF($P24="Mix",SUMIF('High_Low Voltage Mix Summary'!$B$10:$B$17,#REF!,'High_Low Voltage Mix Summary'!$G$10:$G$17),""))</f>
        <v/>
      </c>
      <c r="Z24" s="44" t="str">
        <f>IF(OR($P24="High",$P24="Low"),"",IF($P24="Mix",SUMIF('High_Low Voltage Mix Summary'!$B$10:$B$17,#REF!,'High_Low Voltage Mix Summary'!$H$10:$H$17),""))</f>
        <v/>
      </c>
      <c r="AB24" s="49">
        <f>SUMIF('Antelope Bailey Split BA'!$B$7:$B$29,B24,'Antelope Bailey Split BA'!$C$7:$C$29)</f>
        <v>0</v>
      </c>
      <c r="AC24" s="49" t="str">
        <f>IF(AND(AB24=1,'Plant Total by Account'!$H$1=2),"EKWRA","")</f>
        <v/>
      </c>
    </row>
    <row r="25" spans="1:29" x14ac:dyDescent="0.2">
      <c r="A25" s="39" t="s">
        <v>2279</v>
      </c>
      <c r="B25" s="132" t="s">
        <v>146</v>
      </c>
      <c r="C25" s="40" t="s">
        <v>3333</v>
      </c>
      <c r="D25" s="53">
        <v>0</v>
      </c>
      <c r="E25" s="53">
        <v>0</v>
      </c>
      <c r="F25" s="53">
        <v>75114.45</v>
      </c>
      <c r="G25" s="578">
        <f t="shared" si="3"/>
        <v>75114.45</v>
      </c>
      <c r="H25" s="41"/>
      <c r="I25" s="41"/>
      <c r="J25" s="41"/>
      <c r="K25" s="41">
        <f t="shared" si="6"/>
        <v>0</v>
      </c>
      <c r="L25" s="41">
        <f t="shared" si="7"/>
        <v>0</v>
      </c>
      <c r="M25" s="41">
        <f t="shared" si="8"/>
        <v>75114.45</v>
      </c>
      <c r="N25" s="363">
        <f t="shared" si="4"/>
        <v>0</v>
      </c>
      <c r="O25" s="43" t="s">
        <v>3309</v>
      </c>
      <c r="P25" s="43"/>
      <c r="R25" s="41">
        <f t="shared" si="9"/>
        <v>0</v>
      </c>
      <c r="S25" s="41">
        <f t="shared" si="10"/>
        <v>0</v>
      </c>
      <c r="T25" s="41">
        <f t="shared" si="5"/>
        <v>0</v>
      </c>
      <c r="U25" s="41"/>
      <c r="V25" s="44" t="str">
        <f>IF($P25="High",$S25,IF($P25="Mix",SUMIF('High_Low Voltage Mix Summary'!$B$10:$B$17,$B15,'High_Low Voltage Mix Summary'!$D$10:$D$17),""))</f>
        <v/>
      </c>
      <c r="W25" s="44" t="str">
        <f>IF($P25="Low",$S25,IF($P25="Mix",SUMIF('High_Low Voltage Mix Summary'!$B$10:$B$17,$B15,'High_Low Voltage Mix Summary'!$E$10:$E$17),""))</f>
        <v/>
      </c>
      <c r="X25" s="44" t="str">
        <f>IF($P25="High",$T25,IF($P25="Mix",SUMIF('High_Low Voltage Mix Summary'!$B$10:$B$17,$B15,'High_Low Voltage Mix Summary'!$F$10:$F$17),""))</f>
        <v/>
      </c>
      <c r="Y25" s="44" t="str">
        <f>IF($P25="Low",$T25,IF($P25="Mix",SUMIF('High_Low Voltage Mix Summary'!$B$10:$B$17,$B15,'High_Low Voltage Mix Summary'!$G$10:$G$17),""))</f>
        <v/>
      </c>
      <c r="Z25" s="44" t="str">
        <f>IF(OR($P25="High",$P25="Low"),"",IF($P25="Mix",SUMIF('High_Low Voltage Mix Summary'!$B$10:$B$17,$B15,'High_Low Voltage Mix Summary'!$H$10:$H$17),""))</f>
        <v/>
      </c>
      <c r="AB25" s="49">
        <f>SUMIF('Antelope Bailey Split BA'!$B$7:$B$29,B25,'Antelope Bailey Split BA'!$C$7:$C$29)</f>
        <v>0</v>
      </c>
      <c r="AC25" s="49" t="str">
        <f>IF(AND(AB25=1,'Plant Total by Account'!$H$1=2),"EKWRA","")</f>
        <v/>
      </c>
    </row>
    <row r="26" spans="1:29" s="48" customFormat="1" x14ac:dyDescent="0.2">
      <c r="A26" s="39" t="s">
        <v>2281</v>
      </c>
      <c r="B26" s="45" t="s">
        <v>147</v>
      </c>
      <c r="C26" s="40" t="s">
        <v>3333</v>
      </c>
      <c r="D26" s="53">
        <v>4.49</v>
      </c>
      <c r="E26" s="53">
        <v>0</v>
      </c>
      <c r="F26" s="53">
        <v>0</v>
      </c>
      <c r="G26" s="578">
        <f t="shared" si="3"/>
        <v>4.49</v>
      </c>
      <c r="H26" s="41"/>
      <c r="I26" s="41"/>
      <c r="J26" s="41"/>
      <c r="K26" s="41">
        <f t="shared" si="6"/>
        <v>4.49</v>
      </c>
      <c r="L26" s="41">
        <f t="shared" si="7"/>
        <v>0</v>
      </c>
      <c r="M26" s="41">
        <f t="shared" si="8"/>
        <v>0</v>
      </c>
      <c r="N26" s="363">
        <f t="shared" si="4"/>
        <v>0</v>
      </c>
      <c r="O26" s="43" t="s">
        <v>3309</v>
      </c>
      <c r="P26" s="43"/>
      <c r="Q26" s="30"/>
      <c r="R26" s="41">
        <f t="shared" si="9"/>
        <v>0</v>
      </c>
      <c r="S26" s="41">
        <f t="shared" si="10"/>
        <v>0</v>
      </c>
      <c r="T26" s="41">
        <f t="shared" si="5"/>
        <v>0</v>
      </c>
      <c r="U26" s="41"/>
      <c r="V26" s="44" t="str">
        <f>IF($P26="High",$S26,IF($P26="Mix",SUMIF('High_Low Voltage Mix Summary'!$B$10:$B$17,$B780,'High_Low Voltage Mix Summary'!$D$10:$D$17),""))</f>
        <v/>
      </c>
      <c r="W26" s="44" t="str">
        <f>IF($P26="Low",$S26,IF($P26="Mix",SUMIF('High_Low Voltage Mix Summary'!$B$10:$B$17,$B780,'High_Low Voltage Mix Summary'!$E$10:$E$17),""))</f>
        <v/>
      </c>
      <c r="X26" s="44" t="str">
        <f>IF($P26="High",$T26,IF($P26="Mix",SUMIF('High_Low Voltage Mix Summary'!$B$10:$B$17,$B780,'High_Low Voltage Mix Summary'!$F$10:$F$17),""))</f>
        <v/>
      </c>
      <c r="Y26" s="44" t="str">
        <f>IF($P26="Low",$T26,IF($P26="Mix",SUMIF('High_Low Voltage Mix Summary'!$B$10:$B$17,$B780,'High_Low Voltage Mix Summary'!$G$10:$G$17),""))</f>
        <v/>
      </c>
      <c r="Z26" s="44" t="str">
        <f>IF(OR($P26="High",$P26="Low"),"",IF($P26="Mix",SUMIF('High_Low Voltage Mix Summary'!$B$10:$B$17,$B780,'High_Low Voltage Mix Summary'!$H$10:$H$17),""))</f>
        <v/>
      </c>
      <c r="AA26" s="30"/>
      <c r="AB26" s="49">
        <f>SUMIF('Antelope Bailey Split BA'!$B$7:$B$29,B26,'Antelope Bailey Split BA'!$C$7:$C$29)</f>
        <v>0</v>
      </c>
      <c r="AC26" s="49" t="str">
        <f>IF(AND(AB26=1,'Plant Total by Account'!$H$1=2),"EKWRA","")</f>
        <v/>
      </c>
    </row>
    <row r="27" spans="1:29" x14ac:dyDescent="0.2">
      <c r="A27" s="39" t="s">
        <v>2291</v>
      </c>
      <c r="B27" s="45" t="s">
        <v>148</v>
      </c>
      <c r="C27" s="40" t="s">
        <v>3329</v>
      </c>
      <c r="D27" s="53">
        <v>0</v>
      </c>
      <c r="E27" s="53">
        <v>0</v>
      </c>
      <c r="F27" s="53">
        <v>243.99</v>
      </c>
      <c r="G27" s="578">
        <f t="shared" si="3"/>
        <v>243.99</v>
      </c>
      <c r="H27" s="41"/>
      <c r="I27" s="41"/>
      <c r="J27" s="41"/>
      <c r="K27" s="41">
        <f t="shared" si="6"/>
        <v>0</v>
      </c>
      <c r="L27" s="41">
        <f t="shared" si="7"/>
        <v>0</v>
      </c>
      <c r="M27" s="41">
        <f t="shared" si="8"/>
        <v>243.99</v>
      </c>
      <c r="N27" s="363">
        <f t="shared" si="4"/>
        <v>0</v>
      </c>
      <c r="O27" s="43" t="s">
        <v>3309</v>
      </c>
      <c r="P27" s="43"/>
      <c r="R27" s="41">
        <f t="shared" si="9"/>
        <v>0</v>
      </c>
      <c r="S27" s="41">
        <f t="shared" si="10"/>
        <v>0</v>
      </c>
      <c r="T27" s="41">
        <f t="shared" si="5"/>
        <v>0</v>
      </c>
      <c r="U27" s="41"/>
      <c r="V27" s="44" t="str">
        <f>IF($P27="High",$S27,IF($P27="Mix",SUMIF('High_Low Voltage Mix Summary'!$B$10:$B$17,$B788,'High_Low Voltage Mix Summary'!$D$10:$D$17),""))</f>
        <v/>
      </c>
      <c r="W27" s="44" t="str">
        <f>IF($P27="Low",$S27,IF($P27="Mix",SUMIF('High_Low Voltage Mix Summary'!$B$10:$B$17,$B788,'High_Low Voltage Mix Summary'!$E$10:$E$17),""))</f>
        <v/>
      </c>
      <c r="X27" s="44" t="str">
        <f>IF($P27="High",$T27,IF($P27="Mix",SUMIF('High_Low Voltage Mix Summary'!$B$10:$B$17,$B788,'High_Low Voltage Mix Summary'!$F$10:$F$17),""))</f>
        <v/>
      </c>
      <c r="Y27" s="44" t="str">
        <f>IF($P27="Low",$T27,IF($P27="Mix",SUMIF('High_Low Voltage Mix Summary'!$B$10:$B$17,$B788,'High_Low Voltage Mix Summary'!$G$10:$G$17),""))</f>
        <v/>
      </c>
      <c r="Z27" s="44" t="str">
        <f>IF(OR($P27="High",$P27="Low"),"",IF($P27="Mix",SUMIF('High_Low Voltage Mix Summary'!$B$10:$B$17,$B788,'High_Low Voltage Mix Summary'!$H$10:$H$17),""))</f>
        <v/>
      </c>
      <c r="AB27" s="49">
        <f>SUMIF('Antelope Bailey Split BA'!$B$7:$B$29,B27,'Antelope Bailey Split BA'!$C$7:$C$29)</f>
        <v>0</v>
      </c>
      <c r="AC27" s="49" t="str">
        <f>IF(AND(AB27=1,'Plant Total by Account'!$H$1=2),"EKWRA","")</f>
        <v/>
      </c>
    </row>
    <row r="28" spans="1:29" x14ac:dyDescent="0.2">
      <c r="A28" s="39" t="s">
        <v>2293</v>
      </c>
      <c r="B28" s="45" t="s">
        <v>149</v>
      </c>
      <c r="C28" s="40" t="s">
        <v>3335</v>
      </c>
      <c r="D28" s="53">
        <v>0</v>
      </c>
      <c r="E28" s="53">
        <v>0</v>
      </c>
      <c r="F28" s="53">
        <v>31929.520000000004</v>
      </c>
      <c r="G28" s="578">
        <f t="shared" si="3"/>
        <v>31929.520000000004</v>
      </c>
      <c r="H28" s="41"/>
      <c r="I28" s="41"/>
      <c r="J28" s="41"/>
      <c r="K28" s="41">
        <f t="shared" si="6"/>
        <v>0</v>
      </c>
      <c r="L28" s="41">
        <f t="shared" si="7"/>
        <v>0</v>
      </c>
      <c r="M28" s="41">
        <f t="shared" si="8"/>
        <v>31929.520000000004</v>
      </c>
      <c r="N28" s="363">
        <f t="shared" si="4"/>
        <v>0</v>
      </c>
      <c r="O28" s="43" t="s">
        <v>3309</v>
      </c>
      <c r="P28" s="43"/>
      <c r="R28" s="41">
        <f t="shared" si="9"/>
        <v>0</v>
      </c>
      <c r="S28" s="41">
        <f t="shared" si="10"/>
        <v>0</v>
      </c>
      <c r="T28" s="41">
        <f t="shared" si="5"/>
        <v>0</v>
      </c>
      <c r="U28" s="41"/>
      <c r="V28" s="44" t="str">
        <f>IF($P28="High",$S28,IF($P28="Mix",SUMIF('High_Low Voltage Mix Summary'!$B$10:$B$17,$B820,'High_Low Voltage Mix Summary'!$D$10:$D$17),""))</f>
        <v/>
      </c>
      <c r="W28" s="44" t="str">
        <f>IF($P28="Low",$S28,IF($P28="Mix",SUMIF('High_Low Voltage Mix Summary'!$B$10:$B$17,$B820,'High_Low Voltage Mix Summary'!$E$10:$E$17),""))</f>
        <v/>
      </c>
      <c r="X28" s="44" t="str">
        <f>IF($P28="High",$T28,IF($P28="Mix",SUMIF('High_Low Voltage Mix Summary'!$B$10:$B$17,$B820,'High_Low Voltage Mix Summary'!$F$10:$F$17),""))</f>
        <v/>
      </c>
      <c r="Y28" s="44" t="str">
        <f>IF($P28="Low",$T28,IF($P28="Mix",SUMIF('High_Low Voltage Mix Summary'!$B$10:$B$17,$B820,'High_Low Voltage Mix Summary'!$G$10:$G$17),""))</f>
        <v/>
      </c>
      <c r="Z28" s="44" t="str">
        <f>IF(OR($P28="High",$P28="Low"),"",IF($P28="Mix",SUMIF('High_Low Voltage Mix Summary'!$B$10:$B$17,$B820,'High_Low Voltage Mix Summary'!$H$10:$H$17),""))</f>
        <v/>
      </c>
      <c r="AB28" s="49">
        <f>SUMIF('Antelope Bailey Split BA'!$B$7:$B$29,B28,'Antelope Bailey Split BA'!$C$7:$C$29)</f>
        <v>0</v>
      </c>
      <c r="AC28" s="49" t="str">
        <f>IF(AND(AB28=1,'Plant Total by Account'!$H$1=2),"EKWRA","")</f>
        <v/>
      </c>
    </row>
    <row r="29" spans="1:29" x14ac:dyDescent="0.2">
      <c r="A29" s="39" t="s">
        <v>2294</v>
      </c>
      <c r="B29" s="40" t="s">
        <v>150</v>
      </c>
      <c r="C29" s="40" t="s">
        <v>3335</v>
      </c>
      <c r="D29" s="53">
        <v>0</v>
      </c>
      <c r="E29" s="53">
        <v>0</v>
      </c>
      <c r="F29" s="53">
        <v>243.99</v>
      </c>
      <c r="G29" s="578">
        <f t="shared" si="3"/>
        <v>243.99</v>
      </c>
      <c r="H29" s="41"/>
      <c r="I29" s="41"/>
      <c r="J29" s="41"/>
      <c r="K29" s="41">
        <f t="shared" si="6"/>
        <v>0</v>
      </c>
      <c r="L29" s="41">
        <f t="shared" si="7"/>
        <v>0</v>
      </c>
      <c r="M29" s="41">
        <f t="shared" si="8"/>
        <v>243.99</v>
      </c>
      <c r="N29" s="363">
        <f t="shared" si="4"/>
        <v>0</v>
      </c>
      <c r="O29" s="43" t="s">
        <v>3309</v>
      </c>
      <c r="P29" s="43"/>
      <c r="R29" s="41">
        <f t="shared" si="9"/>
        <v>0</v>
      </c>
      <c r="S29" s="41">
        <f t="shared" si="10"/>
        <v>0</v>
      </c>
      <c r="T29" s="41">
        <f t="shared" si="5"/>
        <v>0</v>
      </c>
      <c r="U29" s="41"/>
      <c r="V29" s="44" t="str">
        <f>IF($P29="High",$S29,IF($P29="Mix",SUMIF('High_Low Voltage Mix Summary'!$B$10:$B$17,$B600,'High_Low Voltage Mix Summary'!$D$10:$D$17),""))</f>
        <v/>
      </c>
      <c r="W29" s="44" t="str">
        <f>IF($P29="Low",$S29,IF($P29="Mix",SUMIF('High_Low Voltage Mix Summary'!$B$10:$B$17,$B600,'High_Low Voltage Mix Summary'!$E$10:$E$17),""))</f>
        <v/>
      </c>
      <c r="X29" s="44" t="str">
        <f>IF($P29="High",$T29,IF($P29="Mix",SUMIF('High_Low Voltage Mix Summary'!$B$10:$B$17,$B600,'High_Low Voltage Mix Summary'!$F$10:$F$17),""))</f>
        <v/>
      </c>
      <c r="Y29" s="44" t="str">
        <f>IF($P29="Low",$T29,IF($P29="Mix",SUMIF('High_Low Voltage Mix Summary'!$B$10:$B$17,$B600,'High_Low Voltage Mix Summary'!$G$10:$G$17),""))</f>
        <v/>
      </c>
      <c r="Z29" s="44" t="str">
        <f>IF(OR($P29="High",$P29="Low"),"",IF($P29="Mix",SUMIF('High_Low Voltage Mix Summary'!$B$10:$B$17,$B600,'High_Low Voltage Mix Summary'!$H$10:$H$17),""))</f>
        <v/>
      </c>
      <c r="AB29" s="49">
        <f>SUMIF('Antelope Bailey Split BA'!$B$7:$B$29,B29,'Antelope Bailey Split BA'!$C$7:$C$29)</f>
        <v>0</v>
      </c>
      <c r="AC29" s="49" t="str">
        <f>IF(AND(AB29=1,'Plant Total by Account'!$H$1=2),"EKWRA","")</f>
        <v/>
      </c>
    </row>
    <row r="30" spans="1:29" x14ac:dyDescent="0.2">
      <c r="A30" s="39" t="s">
        <v>2295</v>
      </c>
      <c r="B30" s="40" t="s">
        <v>151</v>
      </c>
      <c r="C30" s="40" t="s">
        <v>3335</v>
      </c>
      <c r="D30" s="53">
        <v>0</v>
      </c>
      <c r="E30" s="53">
        <v>0</v>
      </c>
      <c r="F30" s="53">
        <v>243.99</v>
      </c>
      <c r="G30" s="578">
        <f t="shared" si="3"/>
        <v>243.99</v>
      </c>
      <c r="H30" s="41"/>
      <c r="I30" s="41"/>
      <c r="J30" s="41"/>
      <c r="K30" s="41">
        <f t="shared" si="6"/>
        <v>0</v>
      </c>
      <c r="L30" s="41">
        <f t="shared" si="7"/>
        <v>0</v>
      </c>
      <c r="M30" s="41">
        <f t="shared" si="8"/>
        <v>243.99</v>
      </c>
      <c r="N30" s="363">
        <f t="shared" si="4"/>
        <v>0</v>
      </c>
      <c r="O30" s="43" t="s">
        <v>3309</v>
      </c>
      <c r="P30" s="43"/>
      <c r="R30" s="41">
        <f t="shared" si="9"/>
        <v>0</v>
      </c>
      <c r="S30" s="41">
        <f t="shared" si="10"/>
        <v>0</v>
      </c>
      <c r="T30" s="41">
        <f t="shared" si="5"/>
        <v>0</v>
      </c>
      <c r="U30" s="41"/>
      <c r="V30" s="44" t="str">
        <f>IF($P30="High",$S30,IF($P30="Mix",SUMIF('High_Low Voltage Mix Summary'!$B$10:$B$17,$B606,'High_Low Voltage Mix Summary'!$D$10:$D$17),""))</f>
        <v/>
      </c>
      <c r="W30" s="44" t="str">
        <f>IF($P30="Low",$S30,IF($P30="Mix",SUMIF('High_Low Voltage Mix Summary'!$B$10:$B$17,$B606,'High_Low Voltage Mix Summary'!$E$10:$E$17),""))</f>
        <v/>
      </c>
      <c r="X30" s="44" t="str">
        <f>IF($P30="High",$T30,IF($P30="Mix",SUMIF('High_Low Voltage Mix Summary'!$B$10:$B$17,$B606,'High_Low Voltage Mix Summary'!$F$10:$F$17),""))</f>
        <v/>
      </c>
      <c r="Y30" s="44" t="str">
        <f>IF($P30="Low",$T30,IF($P30="Mix",SUMIF('High_Low Voltage Mix Summary'!$B$10:$B$17,$B606,'High_Low Voltage Mix Summary'!$G$10:$G$17),""))</f>
        <v/>
      </c>
      <c r="Z30" s="44" t="str">
        <f>IF(OR($P30="High",$P30="Low"),"",IF($P30="Mix",SUMIF('High_Low Voltage Mix Summary'!$B$10:$B$17,$B606,'High_Low Voltage Mix Summary'!$H$10:$H$17),""))</f>
        <v/>
      </c>
      <c r="AB30" s="49">
        <f>SUMIF('Antelope Bailey Split BA'!$B$7:$B$29,B30,'Antelope Bailey Split BA'!$C$7:$C$29)</f>
        <v>0</v>
      </c>
      <c r="AC30" s="49" t="str">
        <f>IF(AND(AB30=1,'Plant Total by Account'!$H$1=2),"EKWRA","")</f>
        <v/>
      </c>
    </row>
    <row r="31" spans="1:29" x14ac:dyDescent="0.2">
      <c r="A31" s="39" t="s">
        <v>2296</v>
      </c>
      <c r="B31" s="40" t="s">
        <v>1076</v>
      </c>
      <c r="C31" s="40" t="s">
        <v>3335</v>
      </c>
      <c r="D31" s="53">
        <v>0</v>
      </c>
      <c r="E31" s="53">
        <v>0</v>
      </c>
      <c r="F31" s="53">
        <v>9878.43</v>
      </c>
      <c r="G31" s="578">
        <f t="shared" si="3"/>
        <v>9878.43</v>
      </c>
      <c r="H31" s="41"/>
      <c r="I31" s="41"/>
      <c r="J31" s="41"/>
      <c r="K31" s="41">
        <f t="shared" si="6"/>
        <v>0</v>
      </c>
      <c r="L31" s="41">
        <f t="shared" si="7"/>
        <v>0</v>
      </c>
      <c r="M31" s="41">
        <f t="shared" si="8"/>
        <v>9878.43</v>
      </c>
      <c r="N31" s="363">
        <f t="shared" si="4"/>
        <v>0</v>
      </c>
      <c r="O31" s="43" t="s">
        <v>3309</v>
      </c>
      <c r="P31" s="43"/>
      <c r="R31" s="41">
        <f t="shared" si="9"/>
        <v>0</v>
      </c>
      <c r="S31" s="41">
        <f t="shared" si="10"/>
        <v>0</v>
      </c>
      <c r="T31" s="41">
        <f t="shared" si="5"/>
        <v>0</v>
      </c>
      <c r="U31" s="41"/>
      <c r="V31" s="44" t="str">
        <f>IF($P31="High",$S31,IF($P31="Mix",SUMIF('High_Low Voltage Mix Summary'!$B$10:$B$17,$B607,'High_Low Voltage Mix Summary'!$D$10:$D$17),""))</f>
        <v/>
      </c>
      <c r="W31" s="44" t="str">
        <f>IF($P31="Low",$S31,IF($P31="Mix",SUMIF('High_Low Voltage Mix Summary'!$B$10:$B$17,$B607,'High_Low Voltage Mix Summary'!$E$10:$E$17),""))</f>
        <v/>
      </c>
      <c r="X31" s="44" t="str">
        <f>IF($P31="High",$T31,IF($P31="Mix",SUMIF('High_Low Voltage Mix Summary'!$B$10:$B$17,$B607,'High_Low Voltage Mix Summary'!$F$10:$F$17),""))</f>
        <v/>
      </c>
      <c r="Y31" s="44" t="str">
        <f>IF($P31="Low",$T31,IF($P31="Mix",SUMIF('High_Low Voltage Mix Summary'!$B$10:$B$17,$B607,'High_Low Voltage Mix Summary'!$G$10:$G$17),""))</f>
        <v/>
      </c>
      <c r="Z31" s="44" t="str">
        <f>IF(OR($P31="High",$P31="Low"),"",IF($P31="Mix",SUMIF('High_Low Voltage Mix Summary'!$B$10:$B$17,$B607,'High_Low Voltage Mix Summary'!$H$10:$H$17),""))</f>
        <v/>
      </c>
      <c r="AB31" s="49">
        <f>SUMIF('Antelope Bailey Split BA'!$B$7:$B$29,B31,'Antelope Bailey Split BA'!$C$7:$C$29)</f>
        <v>0</v>
      </c>
      <c r="AC31" s="49" t="str">
        <f>IF(AND(AB31=1,'Plant Total by Account'!$H$1=2),"EKWRA","")</f>
        <v/>
      </c>
    </row>
    <row r="32" spans="1:29" x14ac:dyDescent="0.2">
      <c r="A32" s="39" t="s">
        <v>2298</v>
      </c>
      <c r="B32" s="45" t="s">
        <v>1079</v>
      </c>
      <c r="C32" s="40" t="s">
        <v>3329</v>
      </c>
      <c r="D32" s="53">
        <v>0</v>
      </c>
      <c r="E32" s="53">
        <v>5038.6499999999996</v>
      </c>
      <c r="F32" s="53">
        <v>8677.68</v>
      </c>
      <c r="G32" s="578">
        <f t="shared" si="3"/>
        <v>13716.33</v>
      </c>
      <c r="H32" s="173"/>
      <c r="I32" s="173"/>
      <c r="J32" s="173"/>
      <c r="K32" s="173">
        <f t="shared" si="6"/>
        <v>0</v>
      </c>
      <c r="L32" s="173">
        <f t="shared" si="7"/>
        <v>5038.6499999999996</v>
      </c>
      <c r="M32" s="173">
        <f t="shared" si="8"/>
        <v>8677.68</v>
      </c>
      <c r="N32" s="363">
        <f t="shared" si="4"/>
        <v>0</v>
      </c>
      <c r="O32" s="43" t="s">
        <v>3309</v>
      </c>
      <c r="P32" s="43"/>
      <c r="R32" s="41">
        <f t="shared" si="9"/>
        <v>0</v>
      </c>
      <c r="S32" s="41">
        <f t="shared" si="10"/>
        <v>0</v>
      </c>
      <c r="T32" s="41">
        <f t="shared" si="5"/>
        <v>0</v>
      </c>
      <c r="U32" s="41"/>
      <c r="V32" s="44" t="str">
        <f>IF($P32="High",$S32,IF($P32="Mix",SUMIF('High_Low Voltage Mix Summary'!$B$10:$B$17,$B26,'High_Low Voltage Mix Summary'!$D$10:$D$17),""))</f>
        <v/>
      </c>
      <c r="W32" s="44" t="str">
        <f>IF($P32="Low",$S32,IF($P32="Mix",SUMIF('High_Low Voltage Mix Summary'!$B$10:$B$17,$B26,'High_Low Voltage Mix Summary'!$E$10:$E$17),""))</f>
        <v/>
      </c>
      <c r="X32" s="44" t="str">
        <f>IF($P32="High",$T32,IF($P32="Mix",SUMIF('High_Low Voltage Mix Summary'!$B$10:$B$17,$B26,'High_Low Voltage Mix Summary'!$F$10:$F$17),""))</f>
        <v/>
      </c>
      <c r="Y32" s="44" t="str">
        <f>IF($P32="Low",$T32,IF($P32="Mix",SUMIF('High_Low Voltage Mix Summary'!$B$10:$B$17,$B26,'High_Low Voltage Mix Summary'!$G$10:$G$17),""))</f>
        <v/>
      </c>
      <c r="Z32" s="44" t="str">
        <f>IF(OR($P32="High",$P32="Low"),"",IF($P32="Mix",SUMIF('High_Low Voltage Mix Summary'!$B$10:$B$17,$B26,'High_Low Voltage Mix Summary'!$H$10:$H$17),""))</f>
        <v/>
      </c>
      <c r="AB32" s="49">
        <f>SUMIF('Antelope Bailey Split BA'!$B$7:$B$29,B32,'Antelope Bailey Split BA'!$C$7:$C$29)</f>
        <v>0</v>
      </c>
      <c r="AC32" s="49" t="str">
        <f>IF(AND(AB32=1,'Plant Total by Account'!$H$1=2),"EKWRA","")</f>
        <v/>
      </c>
    </row>
    <row r="33" spans="1:29" x14ac:dyDescent="0.2">
      <c r="A33" s="39" t="s">
        <v>2299</v>
      </c>
      <c r="B33" s="40" t="s">
        <v>152</v>
      </c>
      <c r="C33" s="40" t="s">
        <v>3329</v>
      </c>
      <c r="D33" s="53">
        <v>0</v>
      </c>
      <c r="E33" s="53">
        <v>0</v>
      </c>
      <c r="F33" s="53">
        <v>569515.52000000002</v>
      </c>
      <c r="G33" s="578">
        <f t="shared" si="3"/>
        <v>569515.52000000002</v>
      </c>
      <c r="H33" s="41"/>
      <c r="I33" s="41"/>
      <c r="J33" s="41"/>
      <c r="K33" s="41">
        <f t="shared" si="6"/>
        <v>0</v>
      </c>
      <c r="L33" s="41">
        <f t="shared" si="7"/>
        <v>0</v>
      </c>
      <c r="M33" s="41">
        <f t="shared" si="8"/>
        <v>569515.52000000002</v>
      </c>
      <c r="N33" s="363">
        <f t="shared" si="4"/>
        <v>0</v>
      </c>
      <c r="O33" s="43" t="s">
        <v>3309</v>
      </c>
      <c r="P33" s="43"/>
      <c r="R33" s="41">
        <f t="shared" ref="R33:R49" si="11">SUM(H33:J33)</f>
        <v>0</v>
      </c>
      <c r="S33" s="41">
        <f t="shared" ref="S33:S49" si="12">H33</f>
        <v>0</v>
      </c>
      <c r="T33" s="41">
        <f t="shared" si="5"/>
        <v>0</v>
      </c>
      <c r="U33" s="41"/>
      <c r="V33" s="44" t="str">
        <f>IF($P33="High",$S33,IF($P33="Mix",SUMIF('High_Low Voltage Mix Summary'!$B$10:$B$17,$B608,'High_Low Voltage Mix Summary'!$D$10:$D$17),""))</f>
        <v/>
      </c>
      <c r="W33" s="44" t="str">
        <f>IF($P33="Low",$S33,IF($P33="Mix",SUMIF('High_Low Voltage Mix Summary'!$B$10:$B$17,$B608,'High_Low Voltage Mix Summary'!$E$10:$E$17),""))</f>
        <v/>
      </c>
      <c r="X33" s="44" t="str">
        <f>IF($P33="High",$T33,IF($P33="Mix",SUMIF('High_Low Voltage Mix Summary'!$B$10:$B$17,$B608,'High_Low Voltage Mix Summary'!$F$10:$F$17),""))</f>
        <v/>
      </c>
      <c r="Y33" s="44" t="str">
        <f>IF($P33="Low",$T33,IF($P33="Mix",SUMIF('High_Low Voltage Mix Summary'!$B$10:$B$17,$B608,'High_Low Voltage Mix Summary'!$G$10:$G$17),""))</f>
        <v/>
      </c>
      <c r="Z33" s="44" t="str">
        <f>IF(OR($P33="High",$P33="Low"),"",IF($P33="Mix",SUMIF('High_Low Voltage Mix Summary'!$B$10:$B$17,$B608,'High_Low Voltage Mix Summary'!$H$10:$H$17),""))</f>
        <v/>
      </c>
      <c r="AB33" s="49">
        <f>SUMIF('Antelope Bailey Split BA'!$B$7:$B$29,B33,'Antelope Bailey Split BA'!$C$7:$C$29)</f>
        <v>0</v>
      </c>
      <c r="AC33" s="49" t="str">
        <f>IF(AND(AB33=1,'Plant Total by Account'!$H$1=2),"EKWRA","")</f>
        <v/>
      </c>
    </row>
    <row r="34" spans="1:29" x14ac:dyDescent="0.2">
      <c r="A34" s="39" t="s">
        <v>2631</v>
      </c>
      <c r="B34" s="45" t="s">
        <v>125</v>
      </c>
      <c r="C34" s="40" t="s">
        <v>3335</v>
      </c>
      <c r="D34" s="53">
        <v>0</v>
      </c>
      <c r="E34" s="53">
        <v>0</v>
      </c>
      <c r="F34" s="53">
        <v>12268.54</v>
      </c>
      <c r="G34" s="578">
        <f t="shared" si="3"/>
        <v>12268.54</v>
      </c>
      <c r="H34" s="41"/>
      <c r="I34" s="41"/>
      <c r="J34" s="41"/>
      <c r="K34" s="41">
        <f t="shared" si="6"/>
        <v>0</v>
      </c>
      <c r="L34" s="41">
        <f t="shared" si="7"/>
        <v>0</v>
      </c>
      <c r="M34" s="41">
        <f t="shared" si="8"/>
        <v>12268.54</v>
      </c>
      <c r="N34" s="363">
        <f t="shared" si="4"/>
        <v>0</v>
      </c>
      <c r="O34" s="43" t="s">
        <v>3309</v>
      </c>
      <c r="P34" s="43"/>
      <c r="R34" s="41">
        <f t="shared" si="11"/>
        <v>0</v>
      </c>
      <c r="S34" s="41">
        <f t="shared" si="12"/>
        <v>0</v>
      </c>
      <c r="T34" s="41">
        <f t="shared" si="5"/>
        <v>0</v>
      </c>
      <c r="U34" s="41"/>
      <c r="V34" s="44" t="str">
        <f>IF($P34="High",$S34,IF($P34="Mix",SUMIF('High_Low Voltage Mix Summary'!$B$10:$B$17,$B25,'High_Low Voltage Mix Summary'!$D$10:$D$17),""))</f>
        <v/>
      </c>
      <c r="W34" s="44" t="str">
        <f>IF($P34="Low",$S34,IF($P34="Mix",SUMIF('High_Low Voltage Mix Summary'!$B$10:$B$17,$B25,'High_Low Voltage Mix Summary'!$E$10:$E$17),""))</f>
        <v/>
      </c>
      <c r="X34" s="44" t="str">
        <f>IF($P34="High",$T34,IF($P34="Mix",SUMIF('High_Low Voltage Mix Summary'!$B$10:$B$17,$B25,'High_Low Voltage Mix Summary'!$F$10:$F$17),""))</f>
        <v/>
      </c>
      <c r="Y34" s="44" t="str">
        <f>IF($P34="Low",$T34,IF($P34="Mix",SUMIF('High_Low Voltage Mix Summary'!$B$10:$B$17,$B25,'High_Low Voltage Mix Summary'!$G$10:$G$17),""))</f>
        <v/>
      </c>
      <c r="Z34" s="44" t="str">
        <f>IF(OR($P34="High",$P34="Low"),"",IF($P34="Mix",SUMIF('High_Low Voltage Mix Summary'!$B$10:$B$17,$B25,'High_Low Voltage Mix Summary'!$H$10:$H$17),""))</f>
        <v/>
      </c>
      <c r="AB34" s="49">
        <f>SUMIF('Antelope Bailey Split BA'!$B$7:$B$29,B34,'Antelope Bailey Split BA'!$C$7:$C$29)</f>
        <v>0</v>
      </c>
      <c r="AC34" s="49" t="str">
        <f>IF(AND(AB34=1,'Plant Total by Account'!$H$1=2),"EKWRA","")</f>
        <v/>
      </c>
    </row>
    <row r="35" spans="1:29" x14ac:dyDescent="0.2">
      <c r="A35" s="39" t="s">
        <v>2300</v>
      </c>
      <c r="B35" s="43" t="s">
        <v>153</v>
      </c>
      <c r="C35" s="40" t="s">
        <v>3329</v>
      </c>
      <c r="D35" s="53">
        <v>0</v>
      </c>
      <c r="E35" s="53">
        <v>0</v>
      </c>
      <c r="F35" s="53">
        <v>74331.94</v>
      </c>
      <c r="G35" s="578">
        <f t="shared" si="3"/>
        <v>74331.94</v>
      </c>
      <c r="H35" s="41"/>
      <c r="I35" s="41"/>
      <c r="J35" s="41"/>
      <c r="K35" s="41">
        <f t="shared" si="6"/>
        <v>0</v>
      </c>
      <c r="L35" s="41">
        <f t="shared" si="7"/>
        <v>0</v>
      </c>
      <c r="M35" s="41">
        <f t="shared" si="8"/>
        <v>74331.94</v>
      </c>
      <c r="N35" s="363">
        <f t="shared" si="4"/>
        <v>0</v>
      </c>
      <c r="O35" s="43" t="s">
        <v>3309</v>
      </c>
      <c r="P35" s="43"/>
      <c r="R35" s="41">
        <f t="shared" si="11"/>
        <v>0</v>
      </c>
      <c r="S35" s="41">
        <f t="shared" si="12"/>
        <v>0</v>
      </c>
      <c r="T35" s="41">
        <f t="shared" si="5"/>
        <v>0</v>
      </c>
      <c r="U35" s="41"/>
      <c r="V35" s="44" t="str">
        <f>IF($P35="High",$S35,IF($P35="Mix",SUMIF('High_Low Voltage Mix Summary'!$B$10:$B$17,$B26,'High_Low Voltage Mix Summary'!$D$10:$D$17),""))</f>
        <v/>
      </c>
      <c r="W35" s="44" t="str">
        <f>IF($P35="Low",$S35,IF($P35="Mix",SUMIF('High_Low Voltage Mix Summary'!$B$10:$B$17,$B26,'High_Low Voltage Mix Summary'!$E$10:$E$17),""))</f>
        <v/>
      </c>
      <c r="X35" s="44" t="str">
        <f>IF($P35="High",$T35,IF($P35="Mix",SUMIF('High_Low Voltage Mix Summary'!$B$10:$B$17,$B26,'High_Low Voltage Mix Summary'!$F$10:$F$17),""))</f>
        <v/>
      </c>
      <c r="Y35" s="44" t="str">
        <f>IF($P35="Low",$T35,IF($P35="Mix",SUMIF('High_Low Voltage Mix Summary'!$B$10:$B$17,$B26,'High_Low Voltage Mix Summary'!$G$10:$G$17),""))</f>
        <v/>
      </c>
      <c r="Z35" s="44" t="str">
        <f>IF(OR($P35="High",$P35="Low"),"",IF($P35="Mix",SUMIF('High_Low Voltage Mix Summary'!$B$10:$B$17,$B26,'High_Low Voltage Mix Summary'!$H$10:$H$17),""))</f>
        <v/>
      </c>
      <c r="AB35" s="49">
        <f>SUMIF('Antelope Bailey Split BA'!$B$7:$B$29,B35,'Antelope Bailey Split BA'!$C$7:$C$29)</f>
        <v>0</v>
      </c>
      <c r="AC35" s="49" t="str">
        <f>IF(AND(AB35=1,'Plant Total by Account'!$H$1=2),"EKWRA","")</f>
        <v/>
      </c>
    </row>
    <row r="36" spans="1:29" x14ac:dyDescent="0.2">
      <c r="A36" s="39" t="s">
        <v>2301</v>
      </c>
      <c r="B36" s="45" t="s">
        <v>154</v>
      </c>
      <c r="C36" s="40" t="s">
        <v>3329</v>
      </c>
      <c r="D36" s="53">
        <v>0</v>
      </c>
      <c r="E36" s="53">
        <v>0</v>
      </c>
      <c r="F36" s="53">
        <v>6860.1399999999994</v>
      </c>
      <c r="G36" s="578">
        <f t="shared" si="3"/>
        <v>6860.1399999999994</v>
      </c>
      <c r="H36" s="41"/>
      <c r="I36" s="41"/>
      <c r="J36" s="41"/>
      <c r="K36" s="41">
        <f t="shared" si="6"/>
        <v>0</v>
      </c>
      <c r="L36" s="41">
        <f t="shared" si="7"/>
        <v>0</v>
      </c>
      <c r="M36" s="41">
        <f t="shared" si="8"/>
        <v>6860.1399999999994</v>
      </c>
      <c r="N36" s="363">
        <f t="shared" si="4"/>
        <v>0</v>
      </c>
      <c r="O36" s="43" t="s">
        <v>3309</v>
      </c>
      <c r="P36" s="43"/>
      <c r="R36" s="41">
        <f t="shared" si="11"/>
        <v>0</v>
      </c>
      <c r="S36" s="41">
        <f t="shared" si="12"/>
        <v>0</v>
      </c>
      <c r="T36" s="41">
        <f t="shared" si="5"/>
        <v>0</v>
      </c>
      <c r="U36" s="41"/>
      <c r="V36" s="44" t="str">
        <f>IF($P36="High",$S36,IF($P36="Mix",SUMIF('High_Low Voltage Mix Summary'!$B$10:$B$17,$B1540,'High_Low Voltage Mix Summary'!$D$10:$D$17),""))</f>
        <v/>
      </c>
      <c r="W36" s="44" t="str">
        <f>IF($P36="Low",$S36,IF($P36="Mix",SUMIF('High_Low Voltage Mix Summary'!$B$10:$B$17,$B1540,'High_Low Voltage Mix Summary'!$E$10:$E$17),""))</f>
        <v/>
      </c>
      <c r="X36" s="44" t="str">
        <f>IF($P36="High",$T36,IF($P36="Mix",SUMIF('High_Low Voltage Mix Summary'!$B$10:$B$17,$B1540,'High_Low Voltage Mix Summary'!$F$10:$F$17),""))</f>
        <v/>
      </c>
      <c r="Y36" s="44" t="str">
        <f>IF($P36="Low",$T36,IF($P36="Mix",SUMIF('High_Low Voltage Mix Summary'!$B$10:$B$17,$B1540,'High_Low Voltage Mix Summary'!$G$10:$G$17),""))</f>
        <v/>
      </c>
      <c r="Z36" s="44" t="str">
        <f>IF(OR($P36="High",$P36="Low"),"",IF($P36="Mix",SUMIF('High_Low Voltage Mix Summary'!$B$10:$B$17,$B1540,'High_Low Voltage Mix Summary'!$H$10:$H$17),""))</f>
        <v/>
      </c>
      <c r="AB36" s="49">
        <f>SUMIF('Antelope Bailey Split BA'!$B$7:$B$29,B36,'Antelope Bailey Split BA'!$C$7:$C$29)</f>
        <v>0</v>
      </c>
      <c r="AC36" s="49" t="str">
        <f>IF(AND(AB36=1,'Plant Total by Account'!$H$1=2),"EKWRA","")</f>
        <v/>
      </c>
    </row>
    <row r="37" spans="1:29" x14ac:dyDescent="0.2">
      <c r="A37" s="39" t="s">
        <v>2632</v>
      </c>
      <c r="B37" s="45" t="s">
        <v>155</v>
      </c>
      <c r="C37" s="40" t="s">
        <v>3333</v>
      </c>
      <c r="D37" s="53">
        <v>137.96</v>
      </c>
      <c r="E37" s="53">
        <v>1412.22</v>
      </c>
      <c r="F37" s="53">
        <v>6428.59</v>
      </c>
      <c r="G37" s="578">
        <f t="shared" si="3"/>
        <v>7978.77</v>
      </c>
      <c r="H37" s="41"/>
      <c r="I37" s="41"/>
      <c r="J37" s="41"/>
      <c r="K37" s="41">
        <f t="shared" si="6"/>
        <v>137.96</v>
      </c>
      <c r="L37" s="41">
        <f t="shared" si="7"/>
        <v>1412.22</v>
      </c>
      <c r="M37" s="41">
        <f t="shared" si="8"/>
        <v>6428.59</v>
      </c>
      <c r="N37" s="363">
        <f t="shared" si="4"/>
        <v>0</v>
      </c>
      <c r="O37" s="43" t="s">
        <v>3309</v>
      </c>
      <c r="P37" s="43"/>
      <c r="R37" s="41">
        <f t="shared" si="11"/>
        <v>0</v>
      </c>
      <c r="S37" s="41">
        <f t="shared" si="12"/>
        <v>0</v>
      </c>
      <c r="T37" s="41">
        <f t="shared" si="5"/>
        <v>0</v>
      </c>
      <c r="U37" s="41"/>
      <c r="V37" s="44" t="str">
        <f>IF($P37="High",$S37,IF($P37="Mix",SUMIF('High_Low Voltage Mix Summary'!$B$10:$B$17,$B601,'High_Low Voltage Mix Summary'!$D$10:$D$17),""))</f>
        <v/>
      </c>
      <c r="W37" s="44" t="str">
        <f>IF($P37="Low",$S37,IF($P37="Mix",SUMIF('High_Low Voltage Mix Summary'!$B$10:$B$17,$B601,'High_Low Voltage Mix Summary'!$E$10:$E$17),""))</f>
        <v/>
      </c>
      <c r="X37" s="44" t="str">
        <f>IF($P37="High",$T37,IF($P37="Mix",SUMIF('High_Low Voltage Mix Summary'!$B$10:$B$17,$B601,'High_Low Voltage Mix Summary'!$F$10:$F$17),""))</f>
        <v/>
      </c>
      <c r="Y37" s="44" t="str">
        <f>IF($P37="Low",$T37,IF($P37="Mix",SUMIF('High_Low Voltage Mix Summary'!$B$10:$B$17,$B601,'High_Low Voltage Mix Summary'!$G$10:$G$17),""))</f>
        <v/>
      </c>
      <c r="Z37" s="44" t="str">
        <f>IF(OR($P37="High",$P37="Low"),"",IF($P37="Mix",SUMIF('High_Low Voltage Mix Summary'!$B$10:$B$17,$B601,'High_Low Voltage Mix Summary'!$H$10:$H$17),""))</f>
        <v/>
      </c>
      <c r="AB37" s="49">
        <f>SUMIF('Antelope Bailey Split BA'!$B$7:$B$29,B37,'Antelope Bailey Split BA'!$C$7:$C$29)</f>
        <v>0</v>
      </c>
      <c r="AC37" s="49" t="str">
        <f>IF(AND(AB37=1,'Plant Total by Account'!$H$1=2),"EKWRA","")</f>
        <v/>
      </c>
    </row>
    <row r="38" spans="1:29" x14ac:dyDescent="0.2">
      <c r="A38" s="39" t="s">
        <v>2303</v>
      </c>
      <c r="B38" s="45" t="s">
        <v>156</v>
      </c>
      <c r="C38" s="40" t="s">
        <v>3335</v>
      </c>
      <c r="D38" s="53">
        <v>7434.47</v>
      </c>
      <c r="E38" s="53">
        <v>5808.13</v>
      </c>
      <c r="F38" s="53">
        <v>228740.53000000003</v>
      </c>
      <c r="G38" s="578">
        <f t="shared" si="3"/>
        <v>241983.13000000003</v>
      </c>
      <c r="H38" s="41"/>
      <c r="I38" s="41"/>
      <c r="J38" s="41"/>
      <c r="K38" s="41">
        <f t="shared" si="6"/>
        <v>7434.47</v>
      </c>
      <c r="L38" s="41">
        <f t="shared" si="7"/>
        <v>5808.13</v>
      </c>
      <c r="M38" s="41">
        <f t="shared" si="8"/>
        <v>228740.53000000003</v>
      </c>
      <c r="N38" s="363">
        <f t="shared" si="4"/>
        <v>0</v>
      </c>
      <c r="O38" s="43" t="s">
        <v>3309</v>
      </c>
      <c r="P38" s="43"/>
      <c r="R38" s="41">
        <f t="shared" si="11"/>
        <v>0</v>
      </c>
      <c r="S38" s="41">
        <f t="shared" si="12"/>
        <v>0</v>
      </c>
      <c r="T38" s="41">
        <f t="shared" si="5"/>
        <v>0</v>
      </c>
      <c r="U38" s="41"/>
      <c r="V38" s="44" t="str">
        <f>IF($P38="High",$S38,IF($P38="Mix",SUMIF('High_Low Voltage Mix Summary'!$B$10:$B$17,$B782,'High_Low Voltage Mix Summary'!$D$10:$D$17),""))</f>
        <v/>
      </c>
      <c r="W38" s="44" t="str">
        <f>IF($P38="Low",$S38,IF($P38="Mix",SUMIF('High_Low Voltage Mix Summary'!$B$10:$B$17,$B782,'High_Low Voltage Mix Summary'!$E$10:$E$17),""))</f>
        <v/>
      </c>
      <c r="X38" s="44" t="str">
        <f>IF($P38="High",$T38,IF($P38="Mix",SUMIF('High_Low Voltage Mix Summary'!$B$10:$B$17,$B782,'High_Low Voltage Mix Summary'!$F$10:$F$17),""))</f>
        <v/>
      </c>
      <c r="Y38" s="44" t="str">
        <f>IF($P38="Low",$T38,IF($P38="Mix",SUMIF('High_Low Voltage Mix Summary'!$B$10:$B$17,$B782,'High_Low Voltage Mix Summary'!$G$10:$G$17),""))</f>
        <v/>
      </c>
      <c r="Z38" s="44" t="str">
        <f>IF(OR($P38="High",$P38="Low"),"",IF($P38="Mix",SUMIF('High_Low Voltage Mix Summary'!$B$10:$B$17,$B782,'High_Low Voltage Mix Summary'!$H$10:$H$17),""))</f>
        <v/>
      </c>
      <c r="AB38" s="49">
        <f>SUMIF('Antelope Bailey Split BA'!$B$7:$B$29,B38,'Antelope Bailey Split BA'!$C$7:$C$29)</f>
        <v>0</v>
      </c>
      <c r="AC38" s="49" t="str">
        <f>IF(AND(AB38=1,'Plant Total by Account'!$H$1=2),"EKWRA","")</f>
        <v/>
      </c>
    </row>
    <row r="39" spans="1:29" x14ac:dyDescent="0.2">
      <c r="A39" s="39" t="s">
        <v>2633</v>
      </c>
      <c r="B39" s="45" t="s">
        <v>157</v>
      </c>
      <c r="C39" s="40" t="s">
        <v>3333</v>
      </c>
      <c r="D39" s="53">
        <v>0</v>
      </c>
      <c r="E39" s="53">
        <v>16176.39</v>
      </c>
      <c r="F39" s="53">
        <v>569636.11</v>
      </c>
      <c r="G39" s="578">
        <f t="shared" si="3"/>
        <v>585812.5</v>
      </c>
      <c r="H39" s="41"/>
      <c r="I39" s="41"/>
      <c r="J39" s="41"/>
      <c r="K39" s="41">
        <f t="shared" si="6"/>
        <v>0</v>
      </c>
      <c r="L39" s="41">
        <f t="shared" si="7"/>
        <v>16176.39</v>
      </c>
      <c r="M39" s="41">
        <f t="shared" si="8"/>
        <v>569636.11</v>
      </c>
      <c r="N39" s="363">
        <f t="shared" si="4"/>
        <v>0</v>
      </c>
      <c r="O39" s="43" t="s">
        <v>3309</v>
      </c>
      <c r="P39" s="43"/>
      <c r="R39" s="41">
        <f t="shared" si="11"/>
        <v>0</v>
      </c>
      <c r="S39" s="41">
        <f t="shared" si="12"/>
        <v>0</v>
      </c>
      <c r="T39" s="41">
        <f t="shared" si="5"/>
        <v>0</v>
      </c>
      <c r="U39" s="41"/>
      <c r="V39" s="44" t="str">
        <f>IF($P39="High",$S39,IF($P39="Mix",SUMIF('High_Low Voltage Mix Summary'!$B$10:$B$17,$B602,'High_Low Voltage Mix Summary'!$D$10:$D$17),""))</f>
        <v/>
      </c>
      <c r="W39" s="44" t="str">
        <f>IF($P39="Low",$S39,IF($P39="Mix",SUMIF('High_Low Voltage Mix Summary'!$B$10:$B$17,$B602,'High_Low Voltage Mix Summary'!$E$10:$E$17),""))</f>
        <v/>
      </c>
      <c r="X39" s="44" t="str">
        <f>IF($P39="High",$T39,IF($P39="Mix",SUMIF('High_Low Voltage Mix Summary'!$B$10:$B$17,$B602,'High_Low Voltage Mix Summary'!$F$10:$F$17),""))</f>
        <v/>
      </c>
      <c r="Y39" s="44" t="str">
        <f>IF($P39="Low",$T39,IF($P39="Mix",SUMIF('High_Low Voltage Mix Summary'!$B$10:$B$17,$B602,'High_Low Voltage Mix Summary'!$G$10:$G$17),""))</f>
        <v/>
      </c>
      <c r="Z39" s="44" t="str">
        <f>IF(OR($P39="High",$P39="Low"),"",IF($P39="Mix",SUMIF('High_Low Voltage Mix Summary'!$B$10:$B$17,$B602,'High_Low Voltage Mix Summary'!$H$10:$H$17),""))</f>
        <v/>
      </c>
      <c r="AB39" s="49">
        <f>SUMIF('Antelope Bailey Split BA'!$B$7:$B$29,B39,'Antelope Bailey Split BA'!$C$7:$C$29)</f>
        <v>0</v>
      </c>
      <c r="AC39" s="49" t="str">
        <f>IF(AND(AB39=1,'Plant Total by Account'!$H$1=2),"EKWRA","")</f>
        <v/>
      </c>
    </row>
    <row r="40" spans="1:29" x14ac:dyDescent="0.2">
      <c r="A40" s="39" t="s">
        <v>2634</v>
      </c>
      <c r="B40" s="45" t="s">
        <v>158</v>
      </c>
      <c r="C40" s="40" t="s">
        <v>3335</v>
      </c>
      <c r="D40" s="53">
        <v>0</v>
      </c>
      <c r="E40" s="53">
        <v>1190.77</v>
      </c>
      <c r="F40" s="53">
        <v>47884.95</v>
      </c>
      <c r="G40" s="578">
        <f t="shared" si="3"/>
        <v>49075.719999999994</v>
      </c>
      <c r="H40" s="41"/>
      <c r="I40" s="41"/>
      <c r="J40" s="41"/>
      <c r="K40" s="41">
        <f t="shared" si="6"/>
        <v>0</v>
      </c>
      <c r="L40" s="41">
        <f t="shared" si="7"/>
        <v>1190.77</v>
      </c>
      <c r="M40" s="41">
        <f t="shared" si="8"/>
        <v>47884.95</v>
      </c>
      <c r="N40" s="363">
        <f t="shared" si="4"/>
        <v>0</v>
      </c>
      <c r="O40" s="43" t="s">
        <v>3309</v>
      </c>
      <c r="P40" s="43"/>
      <c r="R40" s="41">
        <f t="shared" si="11"/>
        <v>0</v>
      </c>
      <c r="S40" s="41">
        <f t="shared" si="12"/>
        <v>0</v>
      </c>
      <c r="T40" s="41">
        <f t="shared" si="5"/>
        <v>0</v>
      </c>
      <c r="U40" s="41"/>
      <c r="V40" s="44" t="str">
        <f>IF($P40="High",$S40,IF($P40="Mix",SUMIF('High_Low Voltage Mix Summary'!$B$10:$B$17,$B603,'High_Low Voltage Mix Summary'!$D$10:$D$17),""))</f>
        <v/>
      </c>
      <c r="W40" s="44" t="str">
        <f>IF($P40="Low",$S40,IF($P40="Mix",SUMIF('High_Low Voltage Mix Summary'!$B$10:$B$17,$B603,'High_Low Voltage Mix Summary'!$E$10:$E$17),""))</f>
        <v/>
      </c>
      <c r="X40" s="44" t="str">
        <f>IF($P40="High",$T40,IF($P40="Mix",SUMIF('High_Low Voltage Mix Summary'!$B$10:$B$17,$B603,'High_Low Voltage Mix Summary'!$F$10:$F$17),""))</f>
        <v/>
      </c>
      <c r="Y40" s="44" t="str">
        <f>IF($P40="Low",$T40,IF($P40="Mix",SUMIF('High_Low Voltage Mix Summary'!$B$10:$B$17,$B603,'High_Low Voltage Mix Summary'!$G$10:$G$17),""))</f>
        <v/>
      </c>
      <c r="Z40" s="44" t="str">
        <f>IF(OR($P40="High",$P40="Low"),"",IF($P40="Mix",SUMIF('High_Low Voltage Mix Summary'!$B$10:$B$17,$B603,'High_Low Voltage Mix Summary'!$H$10:$H$17),""))</f>
        <v/>
      </c>
      <c r="AB40" s="49">
        <f>SUMIF('Antelope Bailey Split BA'!$B$7:$B$29,B40,'Antelope Bailey Split BA'!$C$7:$C$29)</f>
        <v>0</v>
      </c>
      <c r="AC40" s="49" t="str">
        <f>IF(AND(AB40=1,'Plant Total by Account'!$H$1=2),"EKWRA","")</f>
        <v/>
      </c>
    </row>
    <row r="41" spans="1:29" x14ac:dyDescent="0.2">
      <c r="A41" s="39" t="s">
        <v>2635</v>
      </c>
      <c r="B41" s="45" t="s">
        <v>159</v>
      </c>
      <c r="C41" s="40" t="s">
        <v>3335</v>
      </c>
      <c r="D41" s="53">
        <v>0</v>
      </c>
      <c r="E41" s="53">
        <v>1497.07</v>
      </c>
      <c r="F41" s="53">
        <v>13013.41</v>
      </c>
      <c r="G41" s="578">
        <f t="shared" si="3"/>
        <v>14510.48</v>
      </c>
      <c r="H41" s="41"/>
      <c r="I41" s="41"/>
      <c r="J41" s="41"/>
      <c r="K41" s="41">
        <f t="shared" si="6"/>
        <v>0</v>
      </c>
      <c r="L41" s="41">
        <f t="shared" si="7"/>
        <v>1497.07</v>
      </c>
      <c r="M41" s="41">
        <f t="shared" si="8"/>
        <v>13013.41</v>
      </c>
      <c r="N41" s="363">
        <f t="shared" si="4"/>
        <v>0</v>
      </c>
      <c r="O41" s="43" t="s">
        <v>3309</v>
      </c>
      <c r="P41" s="43"/>
      <c r="R41" s="41">
        <f t="shared" si="11"/>
        <v>0</v>
      </c>
      <c r="S41" s="41">
        <f t="shared" si="12"/>
        <v>0</v>
      </c>
      <c r="T41" s="41">
        <f t="shared" si="5"/>
        <v>0</v>
      </c>
      <c r="U41" s="41"/>
      <c r="V41" s="44" t="str">
        <f>IF($P41="High",$S41,IF($P41="Mix",SUMIF('High_Low Voltage Mix Summary'!$B$10:$B$17,$B604,'High_Low Voltage Mix Summary'!$D$10:$D$17),""))</f>
        <v/>
      </c>
      <c r="W41" s="44" t="str">
        <f>IF($P41="Low",$S41,IF($P41="Mix",SUMIF('High_Low Voltage Mix Summary'!$B$10:$B$17,$B604,'High_Low Voltage Mix Summary'!$E$10:$E$17),""))</f>
        <v/>
      </c>
      <c r="X41" s="44" t="str">
        <f>IF($P41="High",$T41,IF($P41="Mix",SUMIF('High_Low Voltage Mix Summary'!$B$10:$B$17,$B604,'High_Low Voltage Mix Summary'!$F$10:$F$17),""))</f>
        <v/>
      </c>
      <c r="Y41" s="44" t="str">
        <f>IF($P41="Low",$T41,IF($P41="Mix",SUMIF('High_Low Voltage Mix Summary'!$B$10:$B$17,$B604,'High_Low Voltage Mix Summary'!$G$10:$G$17),""))</f>
        <v/>
      </c>
      <c r="Z41" s="44" t="str">
        <f>IF(OR($P41="High",$P41="Low"),"",IF($P41="Mix",SUMIF('High_Low Voltage Mix Summary'!$B$10:$B$17,$B604,'High_Low Voltage Mix Summary'!$H$10:$H$17),""))</f>
        <v/>
      </c>
      <c r="AB41" s="49">
        <f>SUMIF('Antelope Bailey Split BA'!$B$7:$B$29,B41,'Antelope Bailey Split BA'!$C$7:$C$29)</f>
        <v>0</v>
      </c>
      <c r="AC41" s="49" t="str">
        <f>IF(AND(AB41=1,'Plant Total by Account'!$H$1=2),"EKWRA","")</f>
        <v/>
      </c>
    </row>
    <row r="42" spans="1:29" x14ac:dyDescent="0.2">
      <c r="A42" s="39" t="s">
        <v>2304</v>
      </c>
      <c r="B42" s="45" t="s">
        <v>160</v>
      </c>
      <c r="C42" s="40" t="s">
        <v>3335</v>
      </c>
      <c r="D42" s="53">
        <v>0</v>
      </c>
      <c r="E42" s="53">
        <v>46012.65</v>
      </c>
      <c r="F42" s="53">
        <v>974488.25999999978</v>
      </c>
      <c r="G42" s="578">
        <f t="shared" si="3"/>
        <v>1020500.9099999998</v>
      </c>
      <c r="H42" s="41"/>
      <c r="I42" s="41"/>
      <c r="J42" s="41"/>
      <c r="K42" s="41">
        <f t="shared" si="6"/>
        <v>0</v>
      </c>
      <c r="L42" s="41">
        <f t="shared" si="7"/>
        <v>46012.65</v>
      </c>
      <c r="M42" s="41">
        <f t="shared" si="8"/>
        <v>974488.25999999978</v>
      </c>
      <c r="N42" s="363">
        <f t="shared" si="4"/>
        <v>0</v>
      </c>
      <c r="O42" s="43" t="s">
        <v>3309</v>
      </c>
      <c r="P42" s="43"/>
      <c r="R42" s="41">
        <f t="shared" si="11"/>
        <v>0</v>
      </c>
      <c r="S42" s="41">
        <f t="shared" si="12"/>
        <v>0</v>
      </c>
      <c r="T42" s="41">
        <f t="shared" si="5"/>
        <v>0</v>
      </c>
      <c r="U42" s="41"/>
      <c r="V42" s="44" t="str">
        <f>IF($P42="High",$S42,IF($P42="Mix",SUMIF('High_Low Voltage Mix Summary'!$B$10:$B$17,$B605,'High_Low Voltage Mix Summary'!$D$10:$D$17),""))</f>
        <v/>
      </c>
      <c r="W42" s="44" t="str">
        <f>IF($P42="Low",$S42,IF($P42="Mix",SUMIF('High_Low Voltage Mix Summary'!$B$10:$B$17,$B605,'High_Low Voltage Mix Summary'!$E$10:$E$17),""))</f>
        <v/>
      </c>
      <c r="X42" s="44" t="str">
        <f>IF($P42="High",$T42,IF($P42="Mix",SUMIF('High_Low Voltage Mix Summary'!$B$10:$B$17,$B605,'High_Low Voltage Mix Summary'!$F$10:$F$17),""))</f>
        <v/>
      </c>
      <c r="Y42" s="44" t="str">
        <f>IF($P42="Low",$T42,IF($P42="Mix",SUMIF('High_Low Voltage Mix Summary'!$B$10:$B$17,$B605,'High_Low Voltage Mix Summary'!$G$10:$G$17),""))</f>
        <v/>
      </c>
      <c r="Z42" s="44" t="str">
        <f>IF(OR($P42="High",$P42="Low"),"",IF($P42="Mix",SUMIF('High_Low Voltage Mix Summary'!$B$10:$B$17,$B605,'High_Low Voltage Mix Summary'!$H$10:$H$17),""))</f>
        <v/>
      </c>
      <c r="AB42" s="49">
        <f>SUMIF('Antelope Bailey Split BA'!$B$7:$B$29,B42,'Antelope Bailey Split BA'!$C$7:$C$29)</f>
        <v>0</v>
      </c>
      <c r="AC42" s="49" t="str">
        <f>IF(AND(AB42=1,'Plant Total by Account'!$H$1=2),"EKWRA","")</f>
        <v/>
      </c>
    </row>
    <row r="43" spans="1:29" x14ac:dyDescent="0.2">
      <c r="A43" s="39" t="s">
        <v>2636</v>
      </c>
      <c r="B43" s="45" t="s">
        <v>161</v>
      </c>
      <c r="C43" s="40" t="s">
        <v>3333</v>
      </c>
      <c r="D43" s="53">
        <v>0</v>
      </c>
      <c r="E43" s="53">
        <v>0</v>
      </c>
      <c r="F43" s="53">
        <v>57327.51</v>
      </c>
      <c r="G43" s="578">
        <f t="shared" si="3"/>
        <v>57327.51</v>
      </c>
      <c r="H43" s="41"/>
      <c r="I43" s="41"/>
      <c r="J43" s="41"/>
      <c r="K43" s="41">
        <f t="shared" si="6"/>
        <v>0</v>
      </c>
      <c r="L43" s="41">
        <f t="shared" si="7"/>
        <v>0</v>
      </c>
      <c r="M43" s="41">
        <f t="shared" si="8"/>
        <v>57327.51</v>
      </c>
      <c r="N43" s="363">
        <f t="shared" si="4"/>
        <v>0</v>
      </c>
      <c r="O43" s="43" t="s">
        <v>3309</v>
      </c>
      <c r="P43" s="43"/>
      <c r="R43" s="41">
        <f t="shared" si="11"/>
        <v>0</v>
      </c>
      <c r="S43" s="41">
        <f t="shared" si="12"/>
        <v>0</v>
      </c>
      <c r="T43" s="41">
        <f t="shared" si="5"/>
        <v>0</v>
      </c>
      <c r="U43" s="41"/>
      <c r="V43" s="44" t="str">
        <f>IF($P43="High",$S43,IF($P43="Mix",SUMIF('High_Low Voltage Mix Summary'!$B$10:$B$17,$B783,'High_Low Voltage Mix Summary'!$D$10:$D$17),""))</f>
        <v/>
      </c>
      <c r="W43" s="44" t="str">
        <f>IF($P43="Low",$S43,IF($P43="Mix",SUMIF('High_Low Voltage Mix Summary'!$B$10:$B$17,$B783,'High_Low Voltage Mix Summary'!$E$10:$E$17),""))</f>
        <v/>
      </c>
      <c r="X43" s="44" t="str">
        <f>IF($P43="High",$T43,IF($P43="Mix",SUMIF('High_Low Voltage Mix Summary'!$B$10:$B$17,$B783,'High_Low Voltage Mix Summary'!$F$10:$F$17),""))</f>
        <v/>
      </c>
      <c r="Y43" s="44" t="str">
        <f>IF($P43="Low",$T43,IF($P43="Mix",SUMIF('High_Low Voltage Mix Summary'!$B$10:$B$17,$B783,'High_Low Voltage Mix Summary'!$G$10:$G$17),""))</f>
        <v/>
      </c>
      <c r="Z43" s="44" t="str">
        <f>IF(OR($P43="High",$P43="Low"),"",IF($P43="Mix",SUMIF('High_Low Voltage Mix Summary'!$B$10:$B$17,$B783,'High_Low Voltage Mix Summary'!$H$10:$H$17),""))</f>
        <v/>
      </c>
      <c r="AB43" s="49">
        <f>SUMIF('Antelope Bailey Split BA'!$B$7:$B$29,B43,'Antelope Bailey Split BA'!$C$7:$C$29)</f>
        <v>0</v>
      </c>
      <c r="AC43" s="49" t="str">
        <f>IF(AND(AB43=1,'Plant Total by Account'!$H$1=2),"EKWRA","")</f>
        <v/>
      </c>
    </row>
    <row r="44" spans="1:29" x14ac:dyDescent="0.2">
      <c r="A44" s="39" t="s">
        <v>2637</v>
      </c>
      <c r="B44" s="45" t="s">
        <v>162</v>
      </c>
      <c r="C44" s="40" t="s">
        <v>3333</v>
      </c>
      <c r="D44" s="53">
        <v>0</v>
      </c>
      <c r="E44" s="53">
        <v>0</v>
      </c>
      <c r="F44" s="53">
        <v>1660992.12</v>
      </c>
      <c r="G44" s="578">
        <f t="shared" si="3"/>
        <v>1660992.12</v>
      </c>
      <c r="H44" s="41"/>
      <c r="I44" s="41"/>
      <c r="J44" s="41"/>
      <c r="K44" s="41">
        <f t="shared" si="6"/>
        <v>0</v>
      </c>
      <c r="L44" s="41">
        <f t="shared" si="7"/>
        <v>0</v>
      </c>
      <c r="M44" s="41">
        <f t="shared" si="8"/>
        <v>1660992.12</v>
      </c>
      <c r="N44" s="363">
        <f t="shared" si="4"/>
        <v>0</v>
      </c>
      <c r="O44" s="43" t="s">
        <v>3309</v>
      </c>
      <c r="P44" s="43"/>
      <c r="R44" s="41">
        <f t="shared" si="11"/>
        <v>0</v>
      </c>
      <c r="S44" s="41">
        <f t="shared" si="12"/>
        <v>0</v>
      </c>
      <c r="T44" s="41">
        <f t="shared" si="5"/>
        <v>0</v>
      </c>
      <c r="U44" s="41"/>
      <c r="V44" s="44" t="str">
        <f>IF($P44="High",$S44,IF($P44="Mix",SUMIF('High_Low Voltage Mix Summary'!$B$10:$B$17,$B784,'High_Low Voltage Mix Summary'!$D$10:$D$17),""))</f>
        <v/>
      </c>
      <c r="W44" s="44" t="str">
        <f>IF($P44="Low",$S44,IF($P44="Mix",SUMIF('High_Low Voltage Mix Summary'!$B$10:$B$17,$B784,'High_Low Voltage Mix Summary'!$E$10:$E$17),""))</f>
        <v/>
      </c>
      <c r="X44" s="44" t="str">
        <f>IF($P44="High",$T44,IF($P44="Mix",SUMIF('High_Low Voltage Mix Summary'!$B$10:$B$17,$B784,'High_Low Voltage Mix Summary'!$F$10:$F$17),""))</f>
        <v/>
      </c>
      <c r="Y44" s="44" t="str">
        <f>IF($P44="Low",$T44,IF($P44="Mix",SUMIF('High_Low Voltage Mix Summary'!$B$10:$B$17,$B784,'High_Low Voltage Mix Summary'!$G$10:$G$17),""))</f>
        <v/>
      </c>
      <c r="Z44" s="44" t="str">
        <f>IF(OR($P44="High",$P44="Low"),"",IF($P44="Mix",SUMIF('High_Low Voltage Mix Summary'!$B$10:$B$17,$B784,'High_Low Voltage Mix Summary'!$H$10:$H$17),""))</f>
        <v/>
      </c>
      <c r="AB44" s="49">
        <f>SUMIF('Antelope Bailey Split BA'!$B$7:$B$29,B44,'Antelope Bailey Split BA'!$C$7:$C$29)</f>
        <v>0</v>
      </c>
      <c r="AC44" s="49" t="str">
        <f>IF(AND(AB44=1,'Plant Total by Account'!$H$1=2),"EKWRA","")</f>
        <v/>
      </c>
    </row>
    <row r="45" spans="1:29" x14ac:dyDescent="0.2">
      <c r="A45" s="39" t="s">
        <v>2638</v>
      </c>
      <c r="B45" s="45" t="s">
        <v>163</v>
      </c>
      <c r="C45" s="40" t="s">
        <v>3333</v>
      </c>
      <c r="D45" s="53">
        <v>24260.5</v>
      </c>
      <c r="E45" s="53">
        <v>81515.790000000008</v>
      </c>
      <c r="F45" s="53">
        <v>438219.2300000001</v>
      </c>
      <c r="G45" s="578">
        <f t="shared" si="3"/>
        <v>543995.52000000014</v>
      </c>
      <c r="H45" s="41"/>
      <c r="I45" s="41"/>
      <c r="J45" s="41"/>
      <c r="K45" s="41">
        <f t="shared" si="6"/>
        <v>24260.5</v>
      </c>
      <c r="L45" s="41">
        <f t="shared" si="7"/>
        <v>81515.790000000008</v>
      </c>
      <c r="M45" s="41">
        <f t="shared" si="8"/>
        <v>438219.2300000001</v>
      </c>
      <c r="N45" s="363">
        <f t="shared" si="4"/>
        <v>0</v>
      </c>
      <c r="O45" s="43" t="s">
        <v>3309</v>
      </c>
      <c r="P45" s="43"/>
      <c r="R45" s="41">
        <f t="shared" si="11"/>
        <v>0</v>
      </c>
      <c r="S45" s="41">
        <f t="shared" si="12"/>
        <v>0</v>
      </c>
      <c r="T45" s="41">
        <f t="shared" si="5"/>
        <v>0</v>
      </c>
      <c r="U45" s="41"/>
      <c r="V45" s="44" t="str">
        <f>IF($P45="High",$S45,IF($P45="Mix",SUMIF('High_Low Voltage Mix Summary'!$B$10:$B$17,$B785,'High_Low Voltage Mix Summary'!$D$10:$D$17),""))</f>
        <v/>
      </c>
      <c r="W45" s="44" t="str">
        <f>IF($P45="Low",$S45,IF($P45="Mix",SUMIF('High_Low Voltage Mix Summary'!$B$10:$B$17,$B785,'High_Low Voltage Mix Summary'!$E$10:$E$17),""))</f>
        <v/>
      </c>
      <c r="X45" s="44" t="str">
        <f>IF($P45="High",$T45,IF($P45="Mix",SUMIF('High_Low Voltage Mix Summary'!$B$10:$B$17,$B785,'High_Low Voltage Mix Summary'!$F$10:$F$17),""))</f>
        <v/>
      </c>
      <c r="Y45" s="44" t="str">
        <f>IF($P45="Low",$T45,IF($P45="Mix",SUMIF('High_Low Voltage Mix Summary'!$B$10:$B$17,$B785,'High_Low Voltage Mix Summary'!$G$10:$G$17),""))</f>
        <v/>
      </c>
      <c r="Z45" s="44" t="str">
        <f>IF(OR($P45="High",$P45="Low"),"",IF($P45="Mix",SUMIF('High_Low Voltage Mix Summary'!$B$10:$B$17,$B785,'High_Low Voltage Mix Summary'!$H$10:$H$17),""))</f>
        <v/>
      </c>
      <c r="AB45" s="49">
        <f>SUMIF('Antelope Bailey Split BA'!$B$7:$B$29,B45,'Antelope Bailey Split BA'!$C$7:$C$29)</f>
        <v>0</v>
      </c>
      <c r="AC45" s="49" t="str">
        <f>IF(AND(AB45=1,'Plant Total by Account'!$H$1=2),"EKWRA","")</f>
        <v/>
      </c>
    </row>
    <row r="46" spans="1:29" x14ac:dyDescent="0.2">
      <c r="A46" s="39" t="s">
        <v>2639</v>
      </c>
      <c r="B46" s="45" t="s">
        <v>164</v>
      </c>
      <c r="C46" s="40" t="s">
        <v>3333</v>
      </c>
      <c r="D46" s="53">
        <v>62994.73</v>
      </c>
      <c r="E46" s="53">
        <v>186428.47</v>
      </c>
      <c r="F46" s="53">
        <v>1894983.61</v>
      </c>
      <c r="G46" s="578">
        <f t="shared" si="3"/>
        <v>2144406.81</v>
      </c>
      <c r="H46" s="41"/>
      <c r="I46" s="41"/>
      <c r="J46" s="41"/>
      <c r="K46" s="41">
        <f t="shared" si="6"/>
        <v>62994.73</v>
      </c>
      <c r="L46" s="41">
        <f t="shared" si="7"/>
        <v>186428.47</v>
      </c>
      <c r="M46" s="41">
        <f t="shared" si="8"/>
        <v>1894983.61</v>
      </c>
      <c r="N46" s="363">
        <f t="shared" si="4"/>
        <v>0</v>
      </c>
      <c r="O46" s="43" t="s">
        <v>3309</v>
      </c>
      <c r="P46" s="43"/>
      <c r="R46" s="41">
        <f t="shared" si="11"/>
        <v>0</v>
      </c>
      <c r="S46" s="41">
        <f t="shared" si="12"/>
        <v>0</v>
      </c>
      <c r="T46" s="41">
        <f t="shared" si="5"/>
        <v>0</v>
      </c>
      <c r="U46" s="41"/>
      <c r="V46" s="44" t="str">
        <f>IF($P46="High",$S46,IF($P46="Mix",SUMIF('High_Low Voltage Mix Summary'!$B$10:$B$17,$B786,'High_Low Voltage Mix Summary'!$D$10:$D$17),""))</f>
        <v/>
      </c>
      <c r="W46" s="44" t="str">
        <f>IF($P46="Low",$S46,IF($P46="Mix",SUMIF('High_Low Voltage Mix Summary'!$B$10:$B$17,$B786,'High_Low Voltage Mix Summary'!$E$10:$E$17),""))</f>
        <v/>
      </c>
      <c r="X46" s="44" t="str">
        <f>IF($P46="High",$T46,IF($P46="Mix",SUMIF('High_Low Voltage Mix Summary'!$B$10:$B$17,$B786,'High_Low Voltage Mix Summary'!$F$10:$F$17),""))</f>
        <v/>
      </c>
      <c r="Y46" s="44" t="str">
        <f>IF($P46="Low",$T46,IF($P46="Mix",SUMIF('High_Low Voltage Mix Summary'!$B$10:$B$17,$B786,'High_Low Voltage Mix Summary'!$G$10:$G$17),""))</f>
        <v/>
      </c>
      <c r="Z46" s="44" t="str">
        <f>IF(OR($P46="High",$P46="Low"),"",IF($P46="Mix",SUMIF('High_Low Voltage Mix Summary'!$B$10:$B$17,$B786,'High_Low Voltage Mix Summary'!$H$10:$H$17),""))</f>
        <v/>
      </c>
      <c r="AB46" s="49">
        <f>SUMIF('Antelope Bailey Split BA'!$B$7:$B$29,B46,'Antelope Bailey Split BA'!$C$7:$C$29)</f>
        <v>0</v>
      </c>
      <c r="AC46" s="49" t="str">
        <f>IF(AND(AB46=1,'Plant Total by Account'!$H$1=2),"EKWRA","")</f>
        <v/>
      </c>
    </row>
    <row r="47" spans="1:29" x14ac:dyDescent="0.2">
      <c r="A47" s="39" t="s">
        <v>2640</v>
      </c>
      <c r="B47" s="45" t="s">
        <v>165</v>
      </c>
      <c r="C47" s="40" t="s">
        <v>3333</v>
      </c>
      <c r="D47" s="53">
        <v>0</v>
      </c>
      <c r="E47" s="53">
        <v>56385.070000000007</v>
      </c>
      <c r="F47" s="53">
        <v>577714.76</v>
      </c>
      <c r="G47" s="578">
        <f t="shared" si="3"/>
        <v>634099.83000000007</v>
      </c>
      <c r="H47" s="41"/>
      <c r="I47" s="41"/>
      <c r="J47" s="41"/>
      <c r="K47" s="41">
        <f t="shared" si="6"/>
        <v>0</v>
      </c>
      <c r="L47" s="41">
        <f t="shared" si="7"/>
        <v>56385.070000000007</v>
      </c>
      <c r="M47" s="41">
        <f t="shared" si="8"/>
        <v>577714.76</v>
      </c>
      <c r="N47" s="363">
        <f t="shared" si="4"/>
        <v>0</v>
      </c>
      <c r="O47" s="43" t="s">
        <v>3309</v>
      </c>
      <c r="P47" s="43"/>
      <c r="R47" s="41">
        <f t="shared" si="11"/>
        <v>0</v>
      </c>
      <c r="S47" s="41">
        <f t="shared" si="12"/>
        <v>0</v>
      </c>
      <c r="T47" s="41">
        <f t="shared" si="5"/>
        <v>0</v>
      </c>
      <c r="U47" s="41"/>
      <c r="V47" s="44" t="str">
        <f>IF($P47="High",$S47,IF($P47="Mix",SUMIF('High_Low Voltage Mix Summary'!$B$10:$B$17,$B787,'High_Low Voltage Mix Summary'!$D$10:$D$17),""))</f>
        <v/>
      </c>
      <c r="W47" s="44" t="str">
        <f>IF($P47="Low",$S47,IF($P47="Mix",SUMIF('High_Low Voltage Mix Summary'!$B$10:$B$17,$B787,'High_Low Voltage Mix Summary'!$E$10:$E$17),""))</f>
        <v/>
      </c>
      <c r="X47" s="44" t="str">
        <f>IF($P47="High",$T47,IF($P47="Mix",SUMIF('High_Low Voltage Mix Summary'!$B$10:$B$17,$B787,'High_Low Voltage Mix Summary'!$F$10:$F$17),""))</f>
        <v/>
      </c>
      <c r="Y47" s="44" t="str">
        <f>IF($P47="Low",$T47,IF($P47="Mix",SUMIF('High_Low Voltage Mix Summary'!$B$10:$B$17,$B787,'High_Low Voltage Mix Summary'!$G$10:$G$17),""))</f>
        <v/>
      </c>
      <c r="Z47" s="44" t="str">
        <f>IF(OR($P47="High",$P47="Low"),"",IF($P47="Mix",SUMIF('High_Low Voltage Mix Summary'!$B$10:$B$17,$B787,'High_Low Voltage Mix Summary'!$H$10:$H$17),""))</f>
        <v/>
      </c>
      <c r="AB47" s="49">
        <f>SUMIF('Antelope Bailey Split BA'!$B$7:$B$29,B47,'Antelope Bailey Split BA'!$C$7:$C$29)</f>
        <v>0</v>
      </c>
      <c r="AC47" s="49" t="str">
        <f>IF(AND(AB47=1,'Plant Total by Account'!$H$1=2),"EKWRA","")</f>
        <v/>
      </c>
    </row>
    <row r="48" spans="1:29" x14ac:dyDescent="0.2">
      <c r="A48" s="39" t="s">
        <v>2641</v>
      </c>
      <c r="B48" s="45" t="s">
        <v>166</v>
      </c>
      <c r="C48" s="40" t="s">
        <v>3334</v>
      </c>
      <c r="D48" s="53">
        <v>0</v>
      </c>
      <c r="E48" s="53">
        <v>13578.02</v>
      </c>
      <c r="F48" s="53">
        <v>1797700.5700000005</v>
      </c>
      <c r="G48" s="578">
        <f t="shared" si="3"/>
        <v>1811278.5900000005</v>
      </c>
      <c r="H48" s="41"/>
      <c r="I48" s="41"/>
      <c r="J48" s="41"/>
      <c r="K48" s="41">
        <f t="shared" si="6"/>
        <v>0</v>
      </c>
      <c r="L48" s="41">
        <f t="shared" si="7"/>
        <v>13578.02</v>
      </c>
      <c r="M48" s="41">
        <f t="shared" si="8"/>
        <v>1797700.5700000005</v>
      </c>
      <c r="N48" s="363">
        <f t="shared" si="4"/>
        <v>0</v>
      </c>
      <c r="O48" s="43" t="s">
        <v>3309</v>
      </c>
      <c r="P48" s="43"/>
      <c r="R48" s="41">
        <f t="shared" si="11"/>
        <v>0</v>
      </c>
      <c r="S48" s="41">
        <f t="shared" si="12"/>
        <v>0</v>
      </c>
      <c r="T48" s="41">
        <f t="shared" si="5"/>
        <v>0</v>
      </c>
      <c r="U48" s="41"/>
      <c r="V48" s="44" t="str">
        <f>IF($P48="High",$S48,IF($P48="Mix",SUMIF('High_Low Voltage Mix Summary'!$B$10:$B$17,$B556,'High_Low Voltage Mix Summary'!$D$10:$D$17),""))</f>
        <v/>
      </c>
      <c r="W48" s="44" t="str">
        <f>IF($P48="Low",$S48,IF($P48="Mix",SUMIF('High_Low Voltage Mix Summary'!$B$10:$B$17,$B556,'High_Low Voltage Mix Summary'!$E$10:$E$17),""))</f>
        <v/>
      </c>
      <c r="X48" s="44" t="str">
        <f>IF($P48="High",$T48,IF($P48="Mix",SUMIF('High_Low Voltage Mix Summary'!$B$10:$B$17,$B556,'High_Low Voltage Mix Summary'!$F$10:$F$17),""))</f>
        <v/>
      </c>
      <c r="Y48" s="44" t="str">
        <f>IF($P48="Low",$T48,IF($P48="Mix",SUMIF('High_Low Voltage Mix Summary'!$B$10:$B$17,$B556,'High_Low Voltage Mix Summary'!$G$10:$G$17),""))</f>
        <v/>
      </c>
      <c r="Z48" s="44" t="str">
        <f>IF(OR($P48="High",$P48="Low"),"",IF($P48="Mix",SUMIF('High_Low Voltage Mix Summary'!$B$10:$B$17,$B556,'High_Low Voltage Mix Summary'!$H$10:$H$17),""))</f>
        <v/>
      </c>
      <c r="AB48" s="49">
        <f>SUMIF('Antelope Bailey Split BA'!$B$7:$B$29,B48,'Antelope Bailey Split BA'!$C$7:$C$29)</f>
        <v>0</v>
      </c>
      <c r="AC48" s="49" t="str">
        <f>IF(AND(AB48=1,'Plant Total by Account'!$H$1=2),"EKWRA","")</f>
        <v/>
      </c>
    </row>
    <row r="49" spans="1:29" x14ac:dyDescent="0.2">
      <c r="A49" s="39" t="s">
        <v>2308</v>
      </c>
      <c r="B49" s="45" t="s">
        <v>167</v>
      </c>
      <c r="C49" s="40"/>
      <c r="D49" s="53">
        <v>691617.74</v>
      </c>
      <c r="E49" s="53">
        <v>0</v>
      </c>
      <c r="F49" s="53">
        <v>0</v>
      </c>
      <c r="G49" s="578">
        <f t="shared" si="3"/>
        <v>691617.74</v>
      </c>
      <c r="H49" s="173"/>
      <c r="I49" s="173"/>
      <c r="J49" s="173"/>
      <c r="K49" s="173">
        <f t="shared" si="6"/>
        <v>691617.74</v>
      </c>
      <c r="L49" s="173">
        <f t="shared" si="7"/>
        <v>0</v>
      </c>
      <c r="M49" s="173">
        <f t="shared" si="8"/>
        <v>0</v>
      </c>
      <c r="N49" s="363">
        <f t="shared" si="4"/>
        <v>0</v>
      </c>
      <c r="O49" s="43" t="s">
        <v>3309</v>
      </c>
      <c r="P49" s="43"/>
      <c r="R49" s="41">
        <f t="shared" si="11"/>
        <v>0</v>
      </c>
      <c r="S49" s="41">
        <f t="shared" si="12"/>
        <v>0</v>
      </c>
      <c r="T49" s="41">
        <f t="shared" si="5"/>
        <v>0</v>
      </c>
      <c r="U49" s="41"/>
      <c r="V49" s="44" t="str">
        <f>IF($P49="High",$S49,IF($P49="Mix",SUMIF('High_Low Voltage Mix Summary'!$B$10:$B$17,$B616,'High_Low Voltage Mix Summary'!$D$10:$D$17),""))</f>
        <v/>
      </c>
      <c r="W49" s="44" t="str">
        <f>IF($P49="Low",$S49,IF($P49="Mix",SUMIF('High_Low Voltage Mix Summary'!$B$10:$B$17,$B616,'High_Low Voltage Mix Summary'!$E$10:$E$17),""))</f>
        <v/>
      </c>
      <c r="X49" s="44" t="str">
        <f>IF($P49="High",$T49,IF($P49="Mix",SUMIF('High_Low Voltage Mix Summary'!$B$10:$B$17,$B616,'High_Low Voltage Mix Summary'!$F$10:$F$17),""))</f>
        <v/>
      </c>
      <c r="Y49" s="44" t="str">
        <f>IF($P49="Low",$T49,IF($P49="Mix",SUMIF('High_Low Voltage Mix Summary'!$B$10:$B$17,$B616,'High_Low Voltage Mix Summary'!$G$10:$G$17),""))</f>
        <v/>
      </c>
      <c r="Z49" s="44" t="str">
        <f>IF(OR($P49="High",$P49="Low"),"",IF($P49="Mix",SUMIF('High_Low Voltage Mix Summary'!$B$10:$B$17,$B616,'High_Low Voltage Mix Summary'!$H$10:$H$17),""))</f>
        <v/>
      </c>
      <c r="AB49" s="49">
        <f>SUMIF('Antelope Bailey Split BA'!$B$7:$B$29,B49,'Antelope Bailey Split BA'!$C$7:$C$29)</f>
        <v>0</v>
      </c>
      <c r="AC49" s="49" t="str">
        <f>IF(AND(AB49=1,'Plant Total by Account'!$H$1=2),"EKWRA","")</f>
        <v/>
      </c>
    </row>
    <row r="50" spans="1:29" x14ac:dyDescent="0.2">
      <c r="A50" s="39" t="s">
        <v>2619</v>
      </c>
      <c r="B50" s="45" t="s">
        <v>127</v>
      </c>
      <c r="C50" s="40" t="s">
        <v>2326</v>
      </c>
      <c r="D50" s="41">
        <v>0</v>
      </c>
      <c r="E50" s="41">
        <v>52105.3</v>
      </c>
      <c r="F50" s="41">
        <v>0</v>
      </c>
      <c r="G50" s="578">
        <f t="shared" si="3"/>
        <v>52105.3</v>
      </c>
      <c r="H50" s="173"/>
      <c r="I50" s="173"/>
      <c r="J50" s="173"/>
      <c r="K50" s="173">
        <f t="shared" si="6"/>
        <v>0</v>
      </c>
      <c r="L50" s="173">
        <f t="shared" si="7"/>
        <v>52105.3</v>
      </c>
      <c r="M50" s="173">
        <f t="shared" si="8"/>
        <v>0</v>
      </c>
      <c r="N50" s="363">
        <f t="shared" si="4"/>
        <v>0</v>
      </c>
      <c r="O50" s="43" t="s">
        <v>3309</v>
      </c>
      <c r="P50" s="43"/>
      <c r="R50" s="41"/>
      <c r="S50" s="41"/>
      <c r="T50" s="41"/>
      <c r="U50" s="41"/>
      <c r="V50" s="44"/>
      <c r="W50" s="44"/>
      <c r="X50" s="44"/>
      <c r="Y50" s="44"/>
      <c r="Z50" s="44"/>
      <c r="AB50" s="49">
        <f>SUMIF('Antelope Bailey Split BA'!$B$7:$B$29,B50,'Antelope Bailey Split BA'!$C$7:$C$29)</f>
        <v>0</v>
      </c>
      <c r="AC50" s="49" t="str">
        <f>IF(AND(AB50=1,'Plant Total by Account'!$H$1=2),"EKWRA","")</f>
        <v/>
      </c>
    </row>
    <row r="51" spans="1:29" x14ac:dyDescent="0.2">
      <c r="A51" s="39" t="s">
        <v>2620</v>
      </c>
      <c r="B51" s="45" t="s">
        <v>1106</v>
      </c>
      <c r="C51" s="40" t="s">
        <v>2326</v>
      </c>
      <c r="D51" s="41">
        <v>0</v>
      </c>
      <c r="E51" s="41">
        <v>14551.73</v>
      </c>
      <c r="F51" s="41">
        <v>0</v>
      </c>
      <c r="G51" s="578">
        <f t="shared" si="3"/>
        <v>14551.73</v>
      </c>
      <c r="H51" s="173"/>
      <c r="I51" s="173"/>
      <c r="J51" s="173"/>
      <c r="K51" s="173">
        <f t="shared" si="6"/>
        <v>0</v>
      </c>
      <c r="L51" s="173">
        <f t="shared" si="7"/>
        <v>14551.73</v>
      </c>
      <c r="M51" s="173">
        <f t="shared" si="8"/>
        <v>0</v>
      </c>
      <c r="N51" s="363">
        <f t="shared" si="4"/>
        <v>0</v>
      </c>
      <c r="O51" s="43" t="s">
        <v>3309</v>
      </c>
      <c r="P51" s="43"/>
      <c r="R51" s="41"/>
      <c r="S51" s="41"/>
      <c r="T51" s="41"/>
      <c r="U51" s="41"/>
      <c r="V51" s="44"/>
      <c r="W51" s="44"/>
      <c r="X51" s="44"/>
      <c r="Y51" s="44"/>
      <c r="Z51" s="44"/>
      <c r="AB51" s="49">
        <f>SUMIF('Antelope Bailey Split BA'!$B$7:$B$29,B51,'Antelope Bailey Split BA'!$C$7:$C$29)</f>
        <v>0</v>
      </c>
      <c r="AC51" s="49" t="str">
        <f>IF(AND(AB51=1,'Plant Total by Account'!$H$1=2),"EKWRA","")</f>
        <v/>
      </c>
    </row>
    <row r="52" spans="1:29" x14ac:dyDescent="0.2">
      <c r="A52" s="39" t="s">
        <v>523</v>
      </c>
      <c r="B52" s="132" t="s">
        <v>2229</v>
      </c>
      <c r="C52" s="40"/>
      <c r="D52" s="53">
        <v>83844.39</v>
      </c>
      <c r="E52" s="53">
        <v>0</v>
      </c>
      <c r="F52" s="53">
        <v>0</v>
      </c>
      <c r="G52" s="578">
        <f t="shared" si="3"/>
        <v>83844.39</v>
      </c>
      <c r="H52" s="41"/>
      <c r="I52" s="41"/>
      <c r="J52" s="41"/>
      <c r="K52" s="41">
        <f t="shared" si="6"/>
        <v>83844.39</v>
      </c>
      <c r="L52" s="41">
        <f t="shared" si="7"/>
        <v>0</v>
      </c>
      <c r="M52" s="41">
        <f t="shared" si="8"/>
        <v>0</v>
      </c>
      <c r="N52" s="363">
        <f t="shared" si="4"/>
        <v>0</v>
      </c>
      <c r="O52" s="43" t="s">
        <v>3309</v>
      </c>
      <c r="P52" s="43"/>
      <c r="R52" s="41">
        <f t="shared" ref="R52:R67" si="13">SUM(H52:J52)</f>
        <v>0</v>
      </c>
      <c r="S52" s="41">
        <f t="shared" ref="S52:S67" si="14">H52</f>
        <v>0</v>
      </c>
      <c r="T52" s="41">
        <f t="shared" ref="T52:T67" si="15">SUM(I52:J52)</f>
        <v>0</v>
      </c>
      <c r="U52" s="41"/>
      <c r="V52" s="44" t="str">
        <f>IF($P52="High",$S52,IF($P52="Mix",SUMIF('High_Low Voltage Mix Summary'!$B$10:$B$17,$B811,'High_Low Voltage Mix Summary'!$D$10:$D$17),""))</f>
        <v/>
      </c>
      <c r="W52" s="44" t="str">
        <f>IF($P52="Low",$S52,IF($P52="Mix",SUMIF('High_Low Voltage Mix Summary'!$B$10:$B$17,$B811,'High_Low Voltage Mix Summary'!$E$10:$E$17),""))</f>
        <v/>
      </c>
      <c r="X52" s="44" t="str">
        <f>IF($P52="High",$T52,IF($P52="Mix",SUMIF('High_Low Voltage Mix Summary'!$B$10:$B$17,$B811,'High_Low Voltage Mix Summary'!$F$10:$F$17),""))</f>
        <v/>
      </c>
      <c r="Y52" s="44" t="str">
        <f>IF($P52="Low",$T52,IF($P52="Mix",SUMIF('High_Low Voltage Mix Summary'!$B$10:$B$17,$B811,'High_Low Voltage Mix Summary'!$G$10:$G$17),""))</f>
        <v/>
      </c>
      <c r="Z52" s="44" t="str">
        <f>IF(OR($P52="High",$P52="Low"),"",IF($P52="Mix",SUMIF('High_Low Voltage Mix Summary'!$B$10:$B$17,$B811,'High_Low Voltage Mix Summary'!$H$10:$H$17),""))</f>
        <v/>
      </c>
      <c r="AB52" s="49">
        <f>SUMIF('Antelope Bailey Split BA'!$B$7:$B$29,B52,'Antelope Bailey Split BA'!$C$7:$C$29)</f>
        <v>0</v>
      </c>
      <c r="AC52" s="49" t="str">
        <f>IF(AND(AB52=1,'Plant Total by Account'!$H$1=2),"EKWRA","")</f>
        <v/>
      </c>
    </row>
    <row r="53" spans="1:29" x14ac:dyDescent="0.2">
      <c r="A53" s="39" t="s">
        <v>2621</v>
      </c>
      <c r="B53" s="133" t="s">
        <v>2245</v>
      </c>
      <c r="C53" s="40" t="s">
        <v>3334</v>
      </c>
      <c r="D53" s="53">
        <v>140014.41</v>
      </c>
      <c r="E53" s="53">
        <v>0</v>
      </c>
      <c r="F53" s="53">
        <v>0</v>
      </c>
      <c r="G53" s="578">
        <f t="shared" si="3"/>
        <v>140014.41</v>
      </c>
      <c r="H53" s="41"/>
      <c r="I53" s="41"/>
      <c r="J53" s="41"/>
      <c r="K53" s="41">
        <f t="shared" si="6"/>
        <v>140014.41</v>
      </c>
      <c r="L53" s="41">
        <f t="shared" si="7"/>
        <v>0</v>
      </c>
      <c r="M53" s="41">
        <f t="shared" si="8"/>
        <v>0</v>
      </c>
      <c r="N53" s="363">
        <f t="shared" si="4"/>
        <v>0</v>
      </c>
      <c r="O53" s="43" t="s">
        <v>3309</v>
      </c>
      <c r="P53" s="43"/>
      <c r="R53" s="41">
        <f t="shared" si="13"/>
        <v>0</v>
      </c>
      <c r="S53" s="41">
        <f t="shared" si="14"/>
        <v>0</v>
      </c>
      <c r="T53" s="41">
        <f t="shared" si="15"/>
        <v>0</v>
      </c>
      <c r="U53" s="41"/>
      <c r="V53" s="44" t="str">
        <f>IF($P53="High",$S53,IF($P53="Mix",SUMIF('High_Low Voltage Mix Summary'!$B$10:$B$17,$B14,'High_Low Voltage Mix Summary'!$D$10:$D$17),""))</f>
        <v/>
      </c>
      <c r="W53" s="44" t="str">
        <f>IF($P53="Low",$S53,IF($P53="Mix",SUMIF('High_Low Voltage Mix Summary'!$B$10:$B$17,$B14,'High_Low Voltage Mix Summary'!$E$10:$E$17),""))</f>
        <v/>
      </c>
      <c r="X53" s="44" t="str">
        <f>IF($P53="High",$T53,IF($P53="Mix",SUMIF('High_Low Voltage Mix Summary'!$B$10:$B$17,$B14,'High_Low Voltage Mix Summary'!$F$10:$F$17),""))</f>
        <v/>
      </c>
      <c r="Y53" s="44" t="str">
        <f>IF($P53="Low",$T53,IF($P53="Mix",SUMIF('High_Low Voltage Mix Summary'!$B$10:$B$17,$B14,'High_Low Voltage Mix Summary'!$G$10:$G$17),""))</f>
        <v/>
      </c>
      <c r="Z53" s="44" t="str">
        <f>IF(OR($P53="High",$P53="Low"),"",IF($P53="Mix",SUMIF('High_Low Voltage Mix Summary'!$B$10:$B$17,$B14,'High_Low Voltage Mix Summary'!$H$10:$H$17),""))</f>
        <v/>
      </c>
      <c r="AB53" s="49">
        <f>SUMIF('Antelope Bailey Split BA'!$B$7:$B$29,B53,'Antelope Bailey Split BA'!$C$7:$C$29)</f>
        <v>0</v>
      </c>
      <c r="AC53" s="49" t="str">
        <f>IF(AND(AB53=1,'Plant Total by Account'!$H$1=2),"EKWRA","")</f>
        <v/>
      </c>
    </row>
    <row r="54" spans="1:29" x14ac:dyDescent="0.2">
      <c r="A54" s="39" t="s">
        <v>2622</v>
      </c>
      <c r="B54" s="133" t="s">
        <v>1111</v>
      </c>
      <c r="C54" s="40" t="s">
        <v>2252</v>
      </c>
      <c r="D54" s="53">
        <v>0</v>
      </c>
      <c r="E54" s="53">
        <v>0</v>
      </c>
      <c r="F54" s="53">
        <v>485808.24</v>
      </c>
      <c r="G54" s="578">
        <f t="shared" si="3"/>
        <v>485808.24</v>
      </c>
      <c r="H54" s="173"/>
      <c r="I54" s="173"/>
      <c r="J54" s="173"/>
      <c r="K54" s="173">
        <f t="shared" si="6"/>
        <v>0</v>
      </c>
      <c r="L54" s="173">
        <f t="shared" si="7"/>
        <v>0</v>
      </c>
      <c r="M54" s="173">
        <f t="shared" si="8"/>
        <v>485808.24</v>
      </c>
      <c r="N54" s="363">
        <f t="shared" si="4"/>
        <v>0</v>
      </c>
      <c r="O54" s="43" t="s">
        <v>3309</v>
      </c>
      <c r="P54" s="43"/>
      <c r="R54" s="41">
        <f t="shared" si="13"/>
        <v>0</v>
      </c>
      <c r="S54" s="41">
        <f t="shared" si="14"/>
        <v>0</v>
      </c>
      <c r="T54" s="41">
        <f t="shared" si="15"/>
        <v>0</v>
      </c>
      <c r="U54" s="41"/>
      <c r="V54" s="44" t="str">
        <f>IF($P54="High",$S54,IF($P54="Mix",SUMIF('High_Low Voltage Mix Summary'!$B$10:$B$17,$B19,'High_Low Voltage Mix Summary'!$D$10:$D$17),""))</f>
        <v/>
      </c>
      <c r="W54" s="44" t="str">
        <f>IF($P54="Low",$S54,IF($P54="Mix",SUMIF('High_Low Voltage Mix Summary'!$B$10:$B$17,$B19,'High_Low Voltage Mix Summary'!$E$10:$E$17),""))</f>
        <v/>
      </c>
      <c r="X54" s="44" t="str">
        <f>IF($P54="High",$T54,IF($P54="Mix",SUMIF('High_Low Voltage Mix Summary'!$B$10:$B$17,$B19,'High_Low Voltage Mix Summary'!$F$10:$F$17),""))</f>
        <v/>
      </c>
      <c r="Y54" s="44" t="str">
        <f>IF($P54="Low",$T54,IF($P54="Mix",SUMIF('High_Low Voltage Mix Summary'!$B$10:$B$17,$B19,'High_Low Voltage Mix Summary'!$G$10:$G$17),""))</f>
        <v/>
      </c>
      <c r="Z54" s="44" t="str">
        <f>IF(OR($P54="High",$P54="Low"),"",IF($P54="Mix",SUMIF('High_Low Voltage Mix Summary'!$B$10:$B$17,$B19,'High_Low Voltage Mix Summary'!$H$10:$H$17),""))</f>
        <v/>
      </c>
      <c r="AB54" s="49">
        <f>SUMIF('Antelope Bailey Split BA'!$B$7:$B$29,B54,'Antelope Bailey Split BA'!$C$7:$C$29)</f>
        <v>0</v>
      </c>
      <c r="AC54" s="49" t="str">
        <f>IF(AND(AB54=1,'Plant Total by Account'!$H$1=2),"EKWRA","")</f>
        <v/>
      </c>
    </row>
    <row r="55" spans="1:29" x14ac:dyDescent="0.2">
      <c r="A55" s="39" t="s">
        <v>2333</v>
      </c>
      <c r="B55" s="133" t="s">
        <v>168</v>
      </c>
      <c r="C55" s="40" t="s">
        <v>3331</v>
      </c>
      <c r="D55" s="53">
        <v>0</v>
      </c>
      <c r="E55" s="53">
        <v>0</v>
      </c>
      <c r="F55" s="53">
        <v>78722.14</v>
      </c>
      <c r="G55" s="578">
        <f t="shared" si="3"/>
        <v>78722.14</v>
      </c>
      <c r="H55" s="173"/>
      <c r="I55" s="173"/>
      <c r="J55" s="173"/>
      <c r="K55" s="173">
        <f t="shared" si="6"/>
        <v>0</v>
      </c>
      <c r="L55" s="173">
        <f t="shared" si="7"/>
        <v>0</v>
      </c>
      <c r="M55" s="173">
        <f t="shared" si="8"/>
        <v>78722.14</v>
      </c>
      <c r="N55" s="363">
        <f t="shared" si="4"/>
        <v>0</v>
      </c>
      <c r="O55" s="43" t="s">
        <v>3309</v>
      </c>
      <c r="P55" s="43"/>
      <c r="R55" s="41">
        <f t="shared" si="13"/>
        <v>0</v>
      </c>
      <c r="S55" s="41">
        <f t="shared" si="14"/>
        <v>0</v>
      </c>
      <c r="T55" s="41">
        <f t="shared" si="15"/>
        <v>0</v>
      </c>
      <c r="U55" s="41"/>
      <c r="V55" s="44" t="str">
        <f>IF($P55="High",$S55,IF($P55="Mix",SUMIF('High_Low Voltage Mix Summary'!$B$10:$B$17,$B14,'High_Low Voltage Mix Summary'!$D$10:$D$17),""))</f>
        <v/>
      </c>
      <c r="W55" s="44" t="str">
        <f>IF($P55="Low",$S55,IF($P55="Mix",SUMIF('High_Low Voltage Mix Summary'!$B$10:$B$17,$B14,'High_Low Voltage Mix Summary'!$E$10:$E$17),""))</f>
        <v/>
      </c>
      <c r="X55" s="44" t="str">
        <f>IF($P55="High",$T55,IF($P55="Mix",SUMIF('High_Low Voltage Mix Summary'!$B$10:$B$17,$B14,'High_Low Voltage Mix Summary'!$F$10:$F$17),""))</f>
        <v/>
      </c>
      <c r="Y55" s="44" t="str">
        <f>IF($P55="Low",$T55,IF($P55="Mix",SUMIF('High_Low Voltage Mix Summary'!$B$10:$B$17,$B14,'High_Low Voltage Mix Summary'!$G$10:$G$17),""))</f>
        <v/>
      </c>
      <c r="Z55" s="44" t="str">
        <f>IF(OR($P55="High",$P55="Low"),"",IF($P55="Mix",SUMIF('High_Low Voltage Mix Summary'!$B$10:$B$17,$B14,'High_Low Voltage Mix Summary'!$H$10:$H$17),""))</f>
        <v/>
      </c>
      <c r="AB55" s="49">
        <f>SUMIF('Antelope Bailey Split BA'!$B$7:$B$29,B55,'Antelope Bailey Split BA'!$C$7:$C$29)</f>
        <v>0</v>
      </c>
      <c r="AC55" s="49" t="str">
        <f>IF(AND(AB55=1,'Plant Total by Account'!$H$1=2),"EKWRA","")</f>
        <v/>
      </c>
    </row>
    <row r="56" spans="1:29" x14ac:dyDescent="0.2">
      <c r="A56" s="39" t="s">
        <v>2337</v>
      </c>
      <c r="B56" s="132" t="s">
        <v>1119</v>
      </c>
      <c r="C56" s="40" t="s">
        <v>3331</v>
      </c>
      <c r="D56" s="53">
        <v>0</v>
      </c>
      <c r="E56" s="53">
        <v>0</v>
      </c>
      <c r="F56" s="53">
        <v>12210.7</v>
      </c>
      <c r="G56" s="578">
        <f t="shared" si="3"/>
        <v>12210.7</v>
      </c>
      <c r="H56" s="173"/>
      <c r="I56" s="173"/>
      <c r="J56" s="173"/>
      <c r="K56" s="173">
        <f t="shared" si="6"/>
        <v>0</v>
      </c>
      <c r="L56" s="173">
        <f t="shared" si="7"/>
        <v>0</v>
      </c>
      <c r="M56" s="173">
        <f t="shared" si="8"/>
        <v>12210.7</v>
      </c>
      <c r="N56" s="363">
        <f t="shared" si="4"/>
        <v>0</v>
      </c>
      <c r="O56" s="43" t="s">
        <v>3309</v>
      </c>
      <c r="P56" s="43"/>
      <c r="R56" s="41">
        <f t="shared" si="13"/>
        <v>0</v>
      </c>
      <c r="S56" s="41">
        <f t="shared" si="14"/>
        <v>0</v>
      </c>
      <c r="T56" s="41">
        <f t="shared" si="15"/>
        <v>0</v>
      </c>
      <c r="U56" s="41"/>
      <c r="V56" s="44" t="str">
        <f>IF($P56="High",$S56,IF($P56="Mix",SUMIF('High_Low Voltage Mix Summary'!$B$10:$B$17,$B812,'High_Low Voltage Mix Summary'!$D$10:$D$17),""))</f>
        <v/>
      </c>
      <c r="W56" s="44" t="str">
        <f>IF($P56="Low",$S56,IF($P56="Mix",SUMIF('High_Low Voltage Mix Summary'!$B$10:$B$17,$B812,'High_Low Voltage Mix Summary'!$E$10:$E$17),""))</f>
        <v/>
      </c>
      <c r="X56" s="44" t="str">
        <f>IF($P56="High",$T56,IF($P56="Mix",SUMIF('High_Low Voltage Mix Summary'!$B$10:$B$17,$B812,'High_Low Voltage Mix Summary'!$F$10:$F$17),""))</f>
        <v/>
      </c>
      <c r="Y56" s="44" t="str">
        <f>IF($P56="Low",$T56,IF($P56="Mix",SUMIF('High_Low Voltage Mix Summary'!$B$10:$B$17,$B812,'High_Low Voltage Mix Summary'!$G$10:$G$17),""))</f>
        <v/>
      </c>
      <c r="Z56" s="44" t="str">
        <f>IF(OR($P56="High",$P56="Low"),"",IF($P56="Mix",SUMIF('High_Low Voltage Mix Summary'!$B$10:$B$17,$B812,'High_Low Voltage Mix Summary'!$H$10:$H$17),""))</f>
        <v/>
      </c>
      <c r="AB56" s="49">
        <f>SUMIF('Antelope Bailey Split BA'!$B$7:$B$29,B56,'Antelope Bailey Split BA'!$C$7:$C$29)</f>
        <v>0</v>
      </c>
      <c r="AC56" s="49" t="str">
        <f>IF(AND(AB56=1,'Plant Total by Account'!$H$1=2),"EKWRA","")</f>
        <v/>
      </c>
    </row>
    <row r="57" spans="1:29" x14ac:dyDescent="0.2">
      <c r="A57" s="39" t="s">
        <v>2339</v>
      </c>
      <c r="B57" s="45" t="s">
        <v>1121</v>
      </c>
      <c r="C57" s="40" t="s">
        <v>3331</v>
      </c>
      <c r="D57" s="53">
        <v>0</v>
      </c>
      <c r="E57" s="53">
        <v>7079.03</v>
      </c>
      <c r="F57" s="53">
        <v>0</v>
      </c>
      <c r="G57" s="578">
        <f t="shared" si="3"/>
        <v>7079.03</v>
      </c>
      <c r="H57" s="173"/>
      <c r="I57" s="173"/>
      <c r="J57" s="173"/>
      <c r="K57" s="173">
        <f t="shared" si="6"/>
        <v>0</v>
      </c>
      <c r="L57" s="173">
        <f t="shared" si="7"/>
        <v>7079.03</v>
      </c>
      <c r="M57" s="173">
        <f t="shared" si="8"/>
        <v>0</v>
      </c>
      <c r="N57" s="363">
        <f t="shared" si="4"/>
        <v>0</v>
      </c>
      <c r="O57" s="43" t="s">
        <v>3309</v>
      </c>
      <c r="P57" s="43"/>
      <c r="R57" s="41">
        <f t="shared" si="13"/>
        <v>0</v>
      </c>
      <c r="S57" s="41">
        <f t="shared" si="14"/>
        <v>0</v>
      </c>
      <c r="T57" s="41">
        <f t="shared" si="15"/>
        <v>0</v>
      </c>
      <c r="U57" s="41"/>
      <c r="V57" s="44" t="str">
        <f>IF($P57="High",$S57,IF($P57="Mix",SUMIF('High_Low Voltage Mix Summary'!$B$10:$B$17,$B813,'High_Low Voltage Mix Summary'!$D$10:$D$17),""))</f>
        <v/>
      </c>
      <c r="W57" s="44" t="str">
        <f>IF($P57="Low",$S57,IF($P57="Mix",SUMIF('High_Low Voltage Mix Summary'!$B$10:$B$17,$B813,'High_Low Voltage Mix Summary'!$E$10:$E$17),""))</f>
        <v/>
      </c>
      <c r="X57" s="44" t="str">
        <f>IF($P57="High",$T57,IF($P57="Mix",SUMIF('High_Low Voltage Mix Summary'!$B$10:$B$17,$B813,'High_Low Voltage Mix Summary'!$F$10:$F$17),""))</f>
        <v/>
      </c>
      <c r="Y57" s="44" t="str">
        <f>IF($P57="Low",$T57,IF($P57="Mix",SUMIF('High_Low Voltage Mix Summary'!$B$10:$B$17,$B813,'High_Low Voltage Mix Summary'!$G$10:$G$17),""))</f>
        <v/>
      </c>
      <c r="Z57" s="44" t="str">
        <f>IF(OR($P57="High",$P57="Low"),"",IF($P57="Mix",SUMIF('High_Low Voltage Mix Summary'!$B$10:$B$17,$B813,'High_Low Voltage Mix Summary'!$H$10:$H$17),""))</f>
        <v/>
      </c>
      <c r="AB57" s="49">
        <f>SUMIF('Antelope Bailey Split BA'!$B$7:$B$29,B57,'Antelope Bailey Split BA'!$C$7:$C$29)</f>
        <v>0</v>
      </c>
      <c r="AC57" s="49" t="str">
        <f>IF(AND(AB57=1,'Plant Total by Account'!$H$1=2),"EKWRA","")</f>
        <v/>
      </c>
    </row>
    <row r="58" spans="1:29" x14ac:dyDescent="0.2">
      <c r="A58" s="39" t="s">
        <v>2346</v>
      </c>
      <c r="B58" s="133" t="s">
        <v>128</v>
      </c>
      <c r="C58" s="40" t="s">
        <v>3331</v>
      </c>
      <c r="D58" s="53">
        <v>0</v>
      </c>
      <c r="E58" s="53">
        <v>62128.67</v>
      </c>
      <c r="F58" s="53">
        <v>729012.1</v>
      </c>
      <c r="G58" s="578">
        <f t="shared" si="3"/>
        <v>791140.77</v>
      </c>
      <c r="H58" s="173"/>
      <c r="I58" s="173"/>
      <c r="J58" s="173"/>
      <c r="K58" s="173">
        <f t="shared" si="6"/>
        <v>0</v>
      </c>
      <c r="L58" s="173">
        <f t="shared" si="7"/>
        <v>62128.67</v>
      </c>
      <c r="M58" s="173">
        <f t="shared" si="8"/>
        <v>729012.1</v>
      </c>
      <c r="N58" s="363">
        <f t="shared" si="4"/>
        <v>0</v>
      </c>
      <c r="O58" s="43" t="s">
        <v>3309</v>
      </c>
      <c r="P58" s="43"/>
      <c r="R58" s="41">
        <f t="shared" si="13"/>
        <v>0</v>
      </c>
      <c r="S58" s="41">
        <f t="shared" si="14"/>
        <v>0</v>
      </c>
      <c r="T58" s="41">
        <f t="shared" si="15"/>
        <v>0</v>
      </c>
      <c r="U58" s="41"/>
      <c r="V58" s="44" t="str">
        <f>IF($P58="High",$S58,IF($P58="Mix",SUMIF('High_Low Voltage Mix Summary'!$B$10:$B$17,$B814,'High_Low Voltage Mix Summary'!$D$10:$D$17),""))</f>
        <v/>
      </c>
      <c r="W58" s="44" t="str">
        <f>IF($P58="Low",$S58,IF($P58="Mix",SUMIF('High_Low Voltage Mix Summary'!$B$10:$B$17,$B814,'High_Low Voltage Mix Summary'!$E$10:$E$17),""))</f>
        <v/>
      </c>
      <c r="X58" s="44" t="str">
        <f>IF($P58="High",$T58,IF($P58="Mix",SUMIF('High_Low Voltage Mix Summary'!$B$10:$B$17,$B814,'High_Low Voltage Mix Summary'!$F$10:$F$17),""))</f>
        <v/>
      </c>
      <c r="Y58" s="44" t="str">
        <f>IF($P58="Low",$T58,IF($P58="Mix",SUMIF('High_Low Voltage Mix Summary'!$B$10:$B$17,$B814,'High_Low Voltage Mix Summary'!$G$10:$G$17),""))</f>
        <v/>
      </c>
      <c r="Z58" s="44" t="str">
        <f>IF(OR($P58="High",$P58="Low"),"",IF($P58="Mix",SUMIF('High_Low Voltage Mix Summary'!$B$10:$B$17,$B814,'High_Low Voltage Mix Summary'!$H$10:$H$17),""))</f>
        <v/>
      </c>
      <c r="AB58" s="49">
        <f>SUMIF('Antelope Bailey Split BA'!$B$7:$B$29,B58,'Antelope Bailey Split BA'!$C$7:$C$29)</f>
        <v>0</v>
      </c>
      <c r="AC58" s="49" t="str">
        <f>IF(AND(AB58=1,'Plant Total by Account'!$H$1=2),"EKWRA","")</f>
        <v/>
      </c>
    </row>
    <row r="59" spans="1:29" x14ac:dyDescent="0.2">
      <c r="A59" s="39" t="s">
        <v>2642</v>
      </c>
      <c r="B59" s="40" t="s">
        <v>169</v>
      </c>
      <c r="C59" s="40" t="s">
        <v>3331</v>
      </c>
      <c r="D59" s="53">
        <v>0</v>
      </c>
      <c r="E59" s="53">
        <v>0</v>
      </c>
      <c r="F59" s="53">
        <v>34024.180000000008</v>
      </c>
      <c r="G59" s="578">
        <f t="shared" si="3"/>
        <v>34024.180000000008</v>
      </c>
      <c r="H59" s="41"/>
      <c r="I59" s="41"/>
      <c r="J59" s="41"/>
      <c r="K59" s="41">
        <f t="shared" si="6"/>
        <v>0</v>
      </c>
      <c r="L59" s="41">
        <f t="shared" si="7"/>
        <v>0</v>
      </c>
      <c r="M59" s="41">
        <f t="shared" si="8"/>
        <v>34024.180000000008</v>
      </c>
      <c r="N59" s="363">
        <f t="shared" si="4"/>
        <v>0</v>
      </c>
      <c r="O59" s="43" t="s">
        <v>3309</v>
      </c>
      <c r="P59" s="43"/>
      <c r="R59" s="41">
        <f t="shared" si="13"/>
        <v>0</v>
      </c>
      <c r="S59" s="41">
        <f t="shared" si="14"/>
        <v>0</v>
      </c>
      <c r="T59" s="41">
        <f t="shared" si="15"/>
        <v>0</v>
      </c>
      <c r="U59" s="41"/>
      <c r="V59" s="44" t="str">
        <f>IF($P59="High",$S59,IF($P59="Mix",SUMIF('High_Low Voltage Mix Summary'!$B$10:$B$17,$B1550,'High_Low Voltage Mix Summary'!$D$10:$D$17),""))</f>
        <v/>
      </c>
      <c r="W59" s="44" t="str">
        <f>IF($P59="Low",$S59,IF($P59="Mix",SUMIF('High_Low Voltage Mix Summary'!$B$10:$B$17,$B1550,'High_Low Voltage Mix Summary'!$E$10:$E$17),""))</f>
        <v/>
      </c>
      <c r="X59" s="44" t="str">
        <f>IF($P59="High",$T59,IF($P59="Mix",SUMIF('High_Low Voltage Mix Summary'!$B$10:$B$17,$B1550,'High_Low Voltage Mix Summary'!$F$10:$F$17),""))</f>
        <v/>
      </c>
      <c r="Y59" s="44" t="str">
        <f>IF($P59="Low",$T59,IF($P59="Mix",SUMIF('High_Low Voltage Mix Summary'!$B$10:$B$17,$B1550,'High_Low Voltage Mix Summary'!$G$10:$G$17),""))</f>
        <v/>
      </c>
      <c r="Z59" s="44" t="str">
        <f>IF(OR($P59="High",$P59="Low"),"",IF($P59="Mix",SUMIF('High_Low Voltage Mix Summary'!$B$10:$B$17,$B1550,'High_Low Voltage Mix Summary'!$H$10:$H$17),""))</f>
        <v/>
      </c>
      <c r="AB59" s="49">
        <f>SUMIF('Antelope Bailey Split BA'!$B$7:$B$29,B59,'Antelope Bailey Split BA'!$C$7:$C$29)</f>
        <v>0</v>
      </c>
      <c r="AC59" s="49" t="str">
        <f>IF(AND(AB59=1,'Plant Total by Account'!$H$1=2),"EKWRA","")</f>
        <v/>
      </c>
    </row>
    <row r="60" spans="1:29" x14ac:dyDescent="0.2">
      <c r="A60" s="39" t="s">
        <v>2353</v>
      </c>
      <c r="B60" s="132" t="s">
        <v>1134</v>
      </c>
      <c r="C60" s="40" t="s">
        <v>3330</v>
      </c>
      <c r="D60" s="53">
        <v>0</v>
      </c>
      <c r="E60" s="53">
        <v>23654.560000000001</v>
      </c>
      <c r="F60" s="53">
        <v>0</v>
      </c>
      <c r="G60" s="578">
        <f t="shared" si="3"/>
        <v>23654.560000000001</v>
      </c>
      <c r="H60" s="41"/>
      <c r="I60" s="41"/>
      <c r="J60" s="41"/>
      <c r="K60" s="41">
        <f t="shared" si="6"/>
        <v>0</v>
      </c>
      <c r="L60" s="41">
        <f t="shared" si="7"/>
        <v>23654.560000000001</v>
      </c>
      <c r="M60" s="41">
        <f t="shared" si="8"/>
        <v>0</v>
      </c>
      <c r="N60" s="363">
        <f t="shared" si="4"/>
        <v>0</v>
      </c>
      <c r="O60" s="43" t="s">
        <v>3309</v>
      </c>
      <c r="P60" s="43"/>
      <c r="R60" s="41">
        <f t="shared" si="13"/>
        <v>0</v>
      </c>
      <c r="S60" s="41">
        <f t="shared" si="14"/>
        <v>0</v>
      </c>
      <c r="T60" s="41">
        <f t="shared" si="15"/>
        <v>0</v>
      </c>
      <c r="U60" s="41"/>
      <c r="V60" s="44" t="str">
        <f>IF($P60="High",$S60,IF($P60="Mix",SUMIF('High_Low Voltage Mix Summary'!$B$10:$B$17,$B1578,'High_Low Voltage Mix Summary'!$D$10:$D$17),""))</f>
        <v/>
      </c>
      <c r="W60" s="44" t="str">
        <f>IF($P60="Low",$S60,IF($P60="Mix",SUMIF('High_Low Voltage Mix Summary'!$B$10:$B$17,$B1578,'High_Low Voltage Mix Summary'!$E$10:$E$17),""))</f>
        <v/>
      </c>
      <c r="X60" s="44" t="str">
        <f>IF($P60="High",$T60,IF($P60="Mix",SUMIF('High_Low Voltage Mix Summary'!$B$10:$B$17,$B1578,'High_Low Voltage Mix Summary'!$F$10:$F$17),""))</f>
        <v/>
      </c>
      <c r="Y60" s="44" t="str">
        <f>IF($P60="Low",$T60,IF($P60="Mix",SUMIF('High_Low Voltage Mix Summary'!$B$10:$B$17,$B1578,'High_Low Voltage Mix Summary'!$G$10:$G$17),""))</f>
        <v/>
      </c>
      <c r="Z60" s="44" t="str">
        <f>IF(OR($P60="High",$P60="Low"),"",IF($P60="Mix",SUMIF('High_Low Voltage Mix Summary'!$B$10:$B$17,$B1578,'High_Low Voltage Mix Summary'!$H$10:$H$17),""))</f>
        <v/>
      </c>
      <c r="AB60" s="49">
        <f>SUMIF('Antelope Bailey Split BA'!$B$7:$B$29,B60,'Antelope Bailey Split BA'!$C$7:$C$29)</f>
        <v>0</v>
      </c>
      <c r="AC60" s="49" t="str">
        <f>IF(AND(AB60=1,'Plant Total by Account'!$H$1=2),"EKWRA","")</f>
        <v/>
      </c>
    </row>
    <row r="61" spans="1:29" x14ac:dyDescent="0.2">
      <c r="A61" s="39" t="s">
        <v>2360</v>
      </c>
      <c r="B61" s="45" t="s">
        <v>1142</v>
      </c>
      <c r="C61" s="40" t="s">
        <v>3331</v>
      </c>
      <c r="D61" s="53">
        <v>0</v>
      </c>
      <c r="E61" s="53">
        <v>72202.430000000008</v>
      </c>
      <c r="F61" s="53">
        <v>19007.55</v>
      </c>
      <c r="G61" s="578">
        <f t="shared" si="3"/>
        <v>91209.98000000001</v>
      </c>
      <c r="H61" s="173"/>
      <c r="I61" s="173"/>
      <c r="J61" s="173"/>
      <c r="K61" s="173">
        <f t="shared" si="6"/>
        <v>0</v>
      </c>
      <c r="L61" s="173">
        <f t="shared" si="7"/>
        <v>72202.430000000008</v>
      </c>
      <c r="M61" s="173">
        <f t="shared" si="8"/>
        <v>19007.55</v>
      </c>
      <c r="N61" s="363">
        <f t="shared" si="4"/>
        <v>0</v>
      </c>
      <c r="O61" s="43" t="s">
        <v>3309</v>
      </c>
      <c r="P61" s="43"/>
      <c r="R61" s="41">
        <f t="shared" si="13"/>
        <v>0</v>
      </c>
      <c r="S61" s="41">
        <f t="shared" si="14"/>
        <v>0</v>
      </c>
      <c r="T61" s="41">
        <f t="shared" si="15"/>
        <v>0</v>
      </c>
      <c r="U61" s="41"/>
      <c r="V61" s="44" t="str">
        <f>IF($P61="High",$S61,IF($P61="Mix",SUMIF('High_Low Voltage Mix Summary'!$B$10:$B$17,$B817,'High_Low Voltage Mix Summary'!$D$10:$D$17),""))</f>
        <v/>
      </c>
      <c r="W61" s="44" t="str">
        <f>IF($P61="Low",$S61,IF($P61="Mix",SUMIF('High_Low Voltage Mix Summary'!$B$10:$B$17,$B817,'High_Low Voltage Mix Summary'!$E$10:$E$17),""))</f>
        <v/>
      </c>
      <c r="X61" s="44" t="str">
        <f>IF($P61="High",$T61,IF($P61="Mix",SUMIF('High_Low Voltage Mix Summary'!$B$10:$B$17,$B817,'High_Low Voltage Mix Summary'!$F$10:$F$17),""))</f>
        <v/>
      </c>
      <c r="Y61" s="44" t="str">
        <f>IF($P61="Low",$T61,IF($P61="Mix",SUMIF('High_Low Voltage Mix Summary'!$B$10:$B$17,$B817,'High_Low Voltage Mix Summary'!$G$10:$G$17),""))</f>
        <v/>
      </c>
      <c r="Z61" s="44" t="str">
        <f>IF(OR($P61="High",$P61="Low"),"",IF($P61="Mix",SUMIF('High_Low Voltage Mix Summary'!$B$10:$B$17,$B817,'High_Low Voltage Mix Summary'!$H$10:$H$17),""))</f>
        <v/>
      </c>
      <c r="AB61" s="49">
        <f>SUMIF('Antelope Bailey Split BA'!$B$7:$B$29,B61,'Antelope Bailey Split BA'!$C$7:$C$29)</f>
        <v>0</v>
      </c>
      <c r="AC61" s="49" t="str">
        <f>IF(AND(AB61=1,'Plant Total by Account'!$H$1=2),"EKWRA","")</f>
        <v/>
      </c>
    </row>
    <row r="62" spans="1:29" x14ac:dyDescent="0.2">
      <c r="A62" s="481" t="s">
        <v>2361</v>
      </c>
      <c r="B62" s="133" t="s">
        <v>1143</v>
      </c>
      <c r="C62" s="40" t="s">
        <v>3331</v>
      </c>
      <c r="D62" s="53">
        <v>0</v>
      </c>
      <c r="E62" s="53">
        <v>0</v>
      </c>
      <c r="F62" s="53">
        <v>343944.12</v>
      </c>
      <c r="G62" s="578">
        <f t="shared" si="3"/>
        <v>343944.12</v>
      </c>
      <c r="H62" s="173"/>
      <c r="I62" s="173"/>
      <c r="J62" s="173"/>
      <c r="K62" s="173">
        <f t="shared" si="6"/>
        <v>0</v>
      </c>
      <c r="L62" s="173">
        <f t="shared" si="7"/>
        <v>0</v>
      </c>
      <c r="M62" s="173">
        <f t="shared" si="8"/>
        <v>343944.12</v>
      </c>
      <c r="N62" s="363">
        <f t="shared" si="4"/>
        <v>0</v>
      </c>
      <c r="O62" s="43" t="s">
        <v>3309</v>
      </c>
      <c r="P62" s="43"/>
      <c r="R62" s="41">
        <f t="shared" si="13"/>
        <v>0</v>
      </c>
      <c r="S62" s="41">
        <f t="shared" si="14"/>
        <v>0</v>
      </c>
      <c r="T62" s="41">
        <f t="shared" si="15"/>
        <v>0</v>
      </c>
      <c r="U62" s="41"/>
      <c r="V62" s="44" t="str">
        <f>IF($P62="High",$S62,IF($P62="Mix",SUMIF('High_Low Voltage Mix Summary'!$B$10:$B$17,$B818,'High_Low Voltage Mix Summary'!$D$10:$D$17),""))</f>
        <v/>
      </c>
      <c r="W62" s="44" t="str">
        <f>IF($P62="Low",$S62,IF($P62="Mix",SUMIF('High_Low Voltage Mix Summary'!$B$10:$B$17,$B818,'High_Low Voltage Mix Summary'!$E$10:$E$17),""))</f>
        <v/>
      </c>
      <c r="X62" s="44" t="str">
        <f>IF($P62="High",$T62,IF($P62="Mix",SUMIF('High_Low Voltage Mix Summary'!$B$10:$B$17,$B818,'High_Low Voltage Mix Summary'!$F$10:$F$17),""))</f>
        <v/>
      </c>
      <c r="Y62" s="44" t="str">
        <f>IF($P62="Low",$T62,IF($P62="Mix",SUMIF('High_Low Voltage Mix Summary'!$B$10:$B$17,$B818,'High_Low Voltage Mix Summary'!$G$10:$G$17),""))</f>
        <v/>
      </c>
      <c r="Z62" s="44" t="str">
        <f>IF(OR($P62="High",$P62="Low"),"",IF($P62="Mix",SUMIF('High_Low Voltage Mix Summary'!$B$10:$B$17,$B818,'High_Low Voltage Mix Summary'!$H$10:$H$17),""))</f>
        <v/>
      </c>
      <c r="AB62" s="49">
        <f>SUMIF('Antelope Bailey Split BA'!$B$7:$B$29,B62,'Antelope Bailey Split BA'!$C$7:$C$29)</f>
        <v>0</v>
      </c>
      <c r="AC62" s="49" t="str">
        <f>IF(AND(AB62=1,'Plant Total by Account'!$H$1=2),"EKWRA","")</f>
        <v/>
      </c>
    </row>
    <row r="63" spans="1:29" ht="12.75" customHeight="1" x14ac:dyDescent="0.2">
      <c r="A63" s="39" t="s">
        <v>2364</v>
      </c>
      <c r="B63" s="132" t="s">
        <v>170</v>
      </c>
      <c r="C63" s="40" t="s">
        <v>3331</v>
      </c>
      <c r="D63" s="53">
        <v>0</v>
      </c>
      <c r="E63" s="53">
        <v>155.52000000000001</v>
      </c>
      <c r="F63" s="53">
        <v>3382.35</v>
      </c>
      <c r="G63" s="516">
        <f>SUM(D63:F63)</f>
        <v>3537.87</v>
      </c>
      <c r="H63" s="173"/>
      <c r="I63" s="173"/>
      <c r="J63" s="173"/>
      <c r="K63" s="173">
        <f>D63</f>
        <v>0</v>
      </c>
      <c r="L63" s="173">
        <f>E63</f>
        <v>155.52000000000001</v>
      </c>
      <c r="M63" s="173">
        <f>F63</f>
        <v>3382.35</v>
      </c>
      <c r="N63" s="363">
        <f>G63-SUM(H63:M63)</f>
        <v>0</v>
      </c>
      <c r="O63" s="43" t="s">
        <v>3309</v>
      </c>
      <c r="P63" s="43"/>
      <c r="R63" s="41">
        <f>SUM(H63:J63)</f>
        <v>0</v>
      </c>
      <c r="S63" s="41">
        <f>H63</f>
        <v>0</v>
      </c>
      <c r="T63" s="41">
        <f>SUM(I63:J63)</f>
        <v>0</v>
      </c>
      <c r="U63" s="41"/>
      <c r="V63" s="44" t="str">
        <f>IF($P63="High",$S63,IF($P63="Mix",SUMIF('High_Low Voltage Mix Summary'!$B$10:$B$17,$B1557,'High_Low Voltage Mix Summary'!$D$10:$D$17),""))</f>
        <v/>
      </c>
      <c r="W63" s="44" t="str">
        <f>IF($P63="Low",$S63,IF($P63="Mix",SUMIF('High_Low Voltage Mix Summary'!$B$10:$B$17,$B1557,'High_Low Voltage Mix Summary'!$E$10:$E$17),""))</f>
        <v/>
      </c>
      <c r="X63" s="44" t="str">
        <f>IF($P63="High",$T63,IF($P63="Mix",SUMIF('High_Low Voltage Mix Summary'!$B$10:$B$17,$B1557,'High_Low Voltage Mix Summary'!$F$10:$F$17),""))</f>
        <v/>
      </c>
      <c r="Y63" s="44" t="str">
        <f>IF($P63="Low",$T63,IF($P63="Mix",SUMIF('High_Low Voltage Mix Summary'!$B$10:$B$17,$B1557,'High_Low Voltage Mix Summary'!$G$10:$G$17),""))</f>
        <v/>
      </c>
      <c r="Z63" s="44" t="str">
        <f>IF(OR($P63="High",$P63="Low"),"",IF($P63="Mix",SUMIF('High_Low Voltage Mix Summary'!$B$10:$B$17,$B1557,'High_Low Voltage Mix Summary'!$H$10:$H$17),""))</f>
        <v/>
      </c>
      <c r="AB63" s="49">
        <f>SUMIF('Antelope Bailey Split BA'!$B$7:$B$29,B63,'Antelope Bailey Split BA'!$C$7:$C$29)</f>
        <v>0</v>
      </c>
      <c r="AC63" s="49" t="str">
        <f>IF(AND(AB63=1,'Plant Total by Account'!$H$1=2),"EKWRA","")</f>
        <v/>
      </c>
    </row>
    <row r="64" spans="1:29" x14ac:dyDescent="0.2">
      <c r="A64" s="39" t="s">
        <v>2365</v>
      </c>
      <c r="B64" s="133" t="s">
        <v>1146</v>
      </c>
      <c r="C64" s="40" t="s">
        <v>3331</v>
      </c>
      <c r="D64" s="53">
        <v>0</v>
      </c>
      <c r="E64" s="53">
        <v>0</v>
      </c>
      <c r="F64" s="53">
        <v>22250.95</v>
      </c>
      <c r="G64" s="578">
        <f t="shared" si="3"/>
        <v>22250.95</v>
      </c>
      <c r="H64" s="173"/>
      <c r="I64" s="173"/>
      <c r="J64" s="173"/>
      <c r="K64" s="173">
        <f t="shared" si="6"/>
        <v>0</v>
      </c>
      <c r="L64" s="173">
        <f t="shared" si="7"/>
        <v>0</v>
      </c>
      <c r="M64" s="173">
        <f t="shared" si="8"/>
        <v>22250.95</v>
      </c>
      <c r="N64" s="363">
        <f t="shared" si="4"/>
        <v>0</v>
      </c>
      <c r="O64" s="43" t="s">
        <v>3309</v>
      </c>
      <c r="P64" s="43"/>
      <c r="R64" s="41">
        <f t="shared" si="13"/>
        <v>0</v>
      </c>
      <c r="S64" s="41">
        <f t="shared" si="14"/>
        <v>0</v>
      </c>
      <c r="T64" s="41">
        <f t="shared" si="15"/>
        <v>0</v>
      </c>
      <c r="U64" s="41"/>
      <c r="V64" s="44" t="str">
        <f>IF($P64="High",$S64,IF($P64="Mix",SUMIF('High_Low Voltage Mix Summary'!$B$10:$B$17,#REF!,'High_Low Voltage Mix Summary'!$D$10:$D$17),""))</f>
        <v/>
      </c>
      <c r="W64" s="44" t="str">
        <f>IF($P64="Low",$S64,IF($P64="Mix",SUMIF('High_Low Voltage Mix Summary'!$B$10:$B$17,#REF!,'High_Low Voltage Mix Summary'!$E$10:$E$17),""))</f>
        <v/>
      </c>
      <c r="X64" s="44" t="str">
        <f>IF($P64="High",$T64,IF($P64="Mix",SUMIF('High_Low Voltage Mix Summary'!$B$10:$B$17,#REF!,'High_Low Voltage Mix Summary'!$F$10:$F$17),""))</f>
        <v/>
      </c>
      <c r="Y64" s="44" t="str">
        <f>IF($P64="Low",$T64,IF($P64="Mix",SUMIF('High_Low Voltage Mix Summary'!$B$10:$B$17,#REF!,'High_Low Voltage Mix Summary'!$G$10:$G$17),""))</f>
        <v/>
      </c>
      <c r="Z64" s="44" t="str">
        <f>IF(OR($P64="High",$P64="Low"),"",IF($P64="Mix",SUMIF('High_Low Voltage Mix Summary'!$B$10:$B$17,#REF!,'High_Low Voltage Mix Summary'!$H$10:$H$17),""))</f>
        <v/>
      </c>
      <c r="AB64" s="49">
        <f>SUMIF('Antelope Bailey Split BA'!$B$7:$B$29,B64,'Antelope Bailey Split BA'!$C$7:$C$29)</f>
        <v>0</v>
      </c>
      <c r="AC64" s="49" t="str">
        <f>IF(AND(AB64=1,'Plant Total by Account'!$H$1=2),"EKWRA","")</f>
        <v/>
      </c>
    </row>
    <row r="65" spans="1:29" x14ac:dyDescent="0.2">
      <c r="A65" s="39" t="s">
        <v>2366</v>
      </c>
      <c r="B65" s="43" t="s">
        <v>1147</v>
      </c>
      <c r="C65" s="40" t="s">
        <v>3330</v>
      </c>
      <c r="D65" s="53">
        <v>0</v>
      </c>
      <c r="E65" s="53">
        <v>95180.950000000012</v>
      </c>
      <c r="F65" s="53">
        <v>0</v>
      </c>
      <c r="G65" s="578">
        <f t="shared" si="3"/>
        <v>95180.950000000012</v>
      </c>
      <c r="H65" s="41"/>
      <c r="I65" s="41"/>
      <c r="J65" s="41"/>
      <c r="K65" s="41">
        <f t="shared" si="6"/>
        <v>0</v>
      </c>
      <c r="L65" s="41">
        <f t="shared" si="7"/>
        <v>95180.950000000012</v>
      </c>
      <c r="M65" s="41">
        <f t="shared" si="8"/>
        <v>0</v>
      </c>
      <c r="N65" s="363">
        <f t="shared" si="4"/>
        <v>0</v>
      </c>
      <c r="O65" s="43" t="s">
        <v>3309</v>
      </c>
      <c r="P65" s="43"/>
      <c r="R65" s="41">
        <f t="shared" si="13"/>
        <v>0</v>
      </c>
      <c r="S65" s="41">
        <f t="shared" si="14"/>
        <v>0</v>
      </c>
      <c r="T65" s="41">
        <f t="shared" si="15"/>
        <v>0</v>
      </c>
      <c r="U65" s="41"/>
      <c r="V65" s="44" t="str">
        <f>IF($P65="High",$S65,IF($P65="Mix",SUMIF('High_Low Voltage Mix Summary'!$B$10:$B$17,#REF!,'High_Low Voltage Mix Summary'!$D$10:$D$17),""))</f>
        <v/>
      </c>
      <c r="W65" s="44" t="str">
        <f>IF($P65="Low",$S65,IF($P65="Mix",SUMIF('High_Low Voltage Mix Summary'!$B$10:$B$17,#REF!,'High_Low Voltage Mix Summary'!$E$10:$E$17),""))</f>
        <v/>
      </c>
      <c r="X65" s="44" t="str">
        <f>IF($P65="High",$T65,IF($P65="Mix",SUMIF('High_Low Voltage Mix Summary'!$B$10:$B$17,#REF!,'High_Low Voltage Mix Summary'!$F$10:$F$17),""))</f>
        <v/>
      </c>
      <c r="Y65" s="44" t="str">
        <f>IF($P65="Low",$T65,IF($P65="Mix",SUMIF('High_Low Voltage Mix Summary'!$B$10:$B$17,#REF!,'High_Low Voltage Mix Summary'!$G$10:$G$17),""))</f>
        <v/>
      </c>
      <c r="Z65" s="44" t="str">
        <f>IF(OR($P65="High",$P65="Low"),"",IF($P65="Mix",SUMIF('High_Low Voltage Mix Summary'!$B$10:$B$17,#REF!,'High_Low Voltage Mix Summary'!$H$10:$H$17),""))</f>
        <v/>
      </c>
      <c r="AB65" s="49">
        <f>SUMIF('Antelope Bailey Split BA'!$B$7:$B$29,B65,'Antelope Bailey Split BA'!$C$7:$C$29)</f>
        <v>0</v>
      </c>
      <c r="AC65" s="49" t="str">
        <f>IF(AND(AB65=1,'Plant Total by Account'!$H$1=2),"EKWRA","")</f>
        <v/>
      </c>
    </row>
    <row r="66" spans="1:29" x14ac:dyDescent="0.2">
      <c r="A66" s="39" t="s">
        <v>2369</v>
      </c>
      <c r="B66" s="133" t="s">
        <v>171</v>
      </c>
      <c r="C66" s="40" t="s">
        <v>3331</v>
      </c>
      <c r="D66" s="53">
        <v>0</v>
      </c>
      <c r="E66" s="53">
        <v>454915.78</v>
      </c>
      <c r="F66" s="53">
        <v>34273.07</v>
      </c>
      <c r="G66" s="578">
        <f t="shared" si="3"/>
        <v>489188.85000000003</v>
      </c>
      <c r="H66" s="173"/>
      <c r="I66" s="173"/>
      <c r="J66" s="173"/>
      <c r="K66" s="173">
        <f t="shared" si="6"/>
        <v>0</v>
      </c>
      <c r="L66" s="173">
        <f t="shared" si="7"/>
        <v>454915.78</v>
      </c>
      <c r="M66" s="173">
        <f t="shared" si="8"/>
        <v>34273.07</v>
      </c>
      <c r="N66" s="363">
        <f t="shared" si="4"/>
        <v>0</v>
      </c>
      <c r="O66" s="43" t="s">
        <v>3309</v>
      </c>
      <c r="P66" s="43"/>
      <c r="R66" s="41">
        <f t="shared" si="13"/>
        <v>0</v>
      </c>
      <c r="S66" s="41">
        <f t="shared" si="14"/>
        <v>0</v>
      </c>
      <c r="T66" s="41">
        <f t="shared" si="15"/>
        <v>0</v>
      </c>
      <c r="U66" s="41"/>
      <c r="V66" s="44" t="str">
        <f>IF($P66="High",$S66,IF($P66="Mix",SUMIF('High_Low Voltage Mix Summary'!$B$10:$B$17,$B308,'High_Low Voltage Mix Summary'!$D$10:$D$17),""))</f>
        <v/>
      </c>
      <c r="W66" s="44" t="str">
        <f>IF($P66="Low",$S66,IF($P66="Mix",SUMIF('High_Low Voltage Mix Summary'!$B$10:$B$17,$B308,'High_Low Voltage Mix Summary'!$E$10:$E$17),""))</f>
        <v/>
      </c>
      <c r="X66" s="44" t="str">
        <f>IF($P66="High",$T66,IF($P66="Mix",SUMIF('High_Low Voltage Mix Summary'!$B$10:$B$17,$B308,'High_Low Voltage Mix Summary'!$F$10:$F$17),""))</f>
        <v/>
      </c>
      <c r="Y66" s="44" t="str">
        <f>IF($P66="Low",$T66,IF($P66="Mix",SUMIF('High_Low Voltage Mix Summary'!$B$10:$B$17,$B308,'High_Low Voltage Mix Summary'!$G$10:$G$17),""))</f>
        <v/>
      </c>
      <c r="Z66" s="44" t="str">
        <f>IF(OR($P66="High",$P66="Low"),"",IF($P66="Mix",SUMIF('High_Low Voltage Mix Summary'!$B$10:$B$17,$B308,'High_Low Voltage Mix Summary'!$H$10:$H$17),""))</f>
        <v/>
      </c>
      <c r="AB66" s="49">
        <f>SUMIF('Antelope Bailey Split BA'!$B$7:$B$29,B66,'Antelope Bailey Split BA'!$C$7:$C$29)</f>
        <v>0</v>
      </c>
      <c r="AC66" s="49" t="str">
        <f>IF(AND(AB66=1,'Plant Total by Account'!$H$1=2),"EKWRA","")</f>
        <v/>
      </c>
    </row>
    <row r="67" spans="1:29" x14ac:dyDescent="0.2">
      <c r="A67" s="39" t="s">
        <v>2372</v>
      </c>
      <c r="B67" s="132" t="s">
        <v>1152</v>
      </c>
      <c r="C67" s="40" t="s">
        <v>3330</v>
      </c>
      <c r="D67" s="53">
        <v>0</v>
      </c>
      <c r="E67" s="53">
        <v>0</v>
      </c>
      <c r="F67" s="53">
        <v>4588278.9499999993</v>
      </c>
      <c r="G67" s="578">
        <f t="shared" si="3"/>
        <v>4588278.9499999993</v>
      </c>
      <c r="H67" s="173"/>
      <c r="I67" s="173"/>
      <c r="J67" s="173"/>
      <c r="K67" s="173">
        <f t="shared" si="6"/>
        <v>0</v>
      </c>
      <c r="L67" s="173">
        <f t="shared" si="7"/>
        <v>0</v>
      </c>
      <c r="M67" s="173">
        <f t="shared" si="8"/>
        <v>4588278.9499999993</v>
      </c>
      <c r="N67" s="363">
        <f t="shared" si="4"/>
        <v>0</v>
      </c>
      <c r="O67" s="43" t="s">
        <v>3309</v>
      </c>
      <c r="P67" s="43"/>
      <c r="R67" s="41">
        <f t="shared" si="13"/>
        <v>0</v>
      </c>
      <c r="S67" s="41">
        <f t="shared" si="14"/>
        <v>0</v>
      </c>
      <c r="T67" s="41">
        <f t="shared" si="15"/>
        <v>0</v>
      </c>
      <c r="U67" s="41"/>
      <c r="V67" s="44" t="str">
        <f>IF($P67="High",$S67,IF($P67="Mix",SUMIF('High_Low Voltage Mix Summary'!$B$10:$B$17,$B347,'High_Low Voltage Mix Summary'!$D$10:$D$17),""))</f>
        <v/>
      </c>
      <c r="W67" s="44" t="str">
        <f>IF($P67="Low",$S67,IF($P67="Mix",SUMIF('High_Low Voltage Mix Summary'!$B$10:$B$17,$B347,'High_Low Voltage Mix Summary'!$E$10:$E$17),""))</f>
        <v/>
      </c>
      <c r="X67" s="44" t="str">
        <f>IF($P67="High",$T67,IF($P67="Mix",SUMIF('High_Low Voltage Mix Summary'!$B$10:$B$17,$B347,'High_Low Voltage Mix Summary'!$F$10:$F$17),""))</f>
        <v/>
      </c>
      <c r="Y67" s="44" t="str">
        <f>IF($P67="Low",$T67,IF($P67="Mix",SUMIF('High_Low Voltage Mix Summary'!$B$10:$B$17,$B347,'High_Low Voltage Mix Summary'!$G$10:$G$17),""))</f>
        <v/>
      </c>
      <c r="Z67" s="44" t="str">
        <f>IF(OR($P67="High",$P67="Low"),"",IF($P67="Mix",SUMIF('High_Low Voltage Mix Summary'!$B$10:$B$17,$B347,'High_Low Voltage Mix Summary'!$H$10:$H$17),""))</f>
        <v/>
      </c>
      <c r="AB67" s="49">
        <f>SUMIF('Antelope Bailey Split BA'!$B$7:$B$29,B67,'Antelope Bailey Split BA'!$C$7:$C$29)</f>
        <v>0</v>
      </c>
      <c r="AC67" s="49" t="str">
        <f>IF(AND(AB67=1,'Plant Total by Account'!$H$1=2),"EKWRA","")</f>
        <v/>
      </c>
    </row>
    <row r="68" spans="1:29" x14ac:dyDescent="0.2">
      <c r="A68" s="39" t="s">
        <v>2374</v>
      </c>
      <c r="B68" s="45" t="s">
        <v>172</v>
      </c>
      <c r="C68" s="40" t="s">
        <v>3330</v>
      </c>
      <c r="D68" s="171">
        <v>0</v>
      </c>
      <c r="E68" s="171">
        <v>0</v>
      </c>
      <c r="F68" s="170">
        <v>-0.16</v>
      </c>
      <c r="G68" s="516">
        <f t="shared" si="3"/>
        <v>-0.16</v>
      </c>
      <c r="H68" s="173"/>
      <c r="I68" s="173"/>
      <c r="J68" s="173"/>
      <c r="K68" s="173">
        <f t="shared" si="6"/>
        <v>0</v>
      </c>
      <c r="L68" s="173">
        <f t="shared" si="7"/>
        <v>0</v>
      </c>
      <c r="M68" s="495">
        <f t="shared" si="8"/>
        <v>-0.16</v>
      </c>
      <c r="N68" s="363">
        <f t="shared" si="4"/>
        <v>0</v>
      </c>
      <c r="O68" s="43" t="s">
        <v>3309</v>
      </c>
      <c r="P68" s="43"/>
      <c r="R68" s="41"/>
      <c r="S68" s="41"/>
      <c r="T68" s="41"/>
      <c r="U68" s="41"/>
      <c r="V68" s="44"/>
      <c r="W68" s="44"/>
      <c r="X68" s="44"/>
      <c r="Y68" s="44"/>
      <c r="Z68" s="44"/>
      <c r="AB68" s="49">
        <f>SUMIF('Antelope Bailey Split BA'!$B$7:$B$29,B68,'Antelope Bailey Split BA'!$C$7:$C$29)</f>
        <v>0</v>
      </c>
      <c r="AC68" s="49" t="str">
        <f>IF(AND(AB68=1,'Plant Total by Account'!$H$1=2),"EKWRA","")</f>
        <v/>
      </c>
    </row>
    <row r="69" spans="1:29" x14ac:dyDescent="0.2">
      <c r="A69" s="39" t="s">
        <v>2643</v>
      </c>
      <c r="B69" s="20" t="s">
        <v>1401</v>
      </c>
      <c r="C69" s="40" t="s">
        <v>3330</v>
      </c>
      <c r="D69" s="53">
        <v>0</v>
      </c>
      <c r="E69" s="53">
        <v>0</v>
      </c>
      <c r="F69" s="53">
        <v>2838417.43</v>
      </c>
      <c r="G69" s="578">
        <f t="shared" si="3"/>
        <v>2838417.43</v>
      </c>
      <c r="H69" s="173"/>
      <c r="I69" s="173"/>
      <c r="J69" s="173"/>
      <c r="K69" s="173">
        <f t="shared" si="6"/>
        <v>0</v>
      </c>
      <c r="L69" s="173">
        <f t="shared" si="7"/>
        <v>0</v>
      </c>
      <c r="M69" s="173">
        <f t="shared" si="8"/>
        <v>2838417.43</v>
      </c>
      <c r="N69" s="363">
        <f t="shared" si="4"/>
        <v>0</v>
      </c>
      <c r="O69" s="43" t="s">
        <v>3309</v>
      </c>
      <c r="P69" s="43"/>
      <c r="R69" s="41">
        <f t="shared" ref="R69:R132" si="16">SUM(H69:J69)</f>
        <v>0</v>
      </c>
      <c r="S69" s="41">
        <f t="shared" ref="S69:S132" si="17">H69</f>
        <v>0</v>
      </c>
      <c r="T69" s="41">
        <f t="shared" ref="T69:T132" si="18">SUM(I69:J69)</f>
        <v>0</v>
      </c>
      <c r="U69" s="41"/>
      <c r="V69" s="44" t="str">
        <f>IF($P69="High",$S69,IF($P69="Mix",SUMIF('High_Low Voltage Mix Summary'!$B$10:$B$17,$B350,'High_Low Voltage Mix Summary'!$D$10:$D$17),""))</f>
        <v/>
      </c>
      <c r="W69" s="44" t="str">
        <f>IF($P69="Low",$S69,IF($P69="Mix",SUMIF('High_Low Voltage Mix Summary'!$B$10:$B$17,$B350,'High_Low Voltage Mix Summary'!$E$10:$E$17),""))</f>
        <v/>
      </c>
      <c r="X69" s="44" t="str">
        <f>IF($P69="High",$T69,IF($P69="Mix",SUMIF('High_Low Voltage Mix Summary'!$B$10:$B$17,$B350,'High_Low Voltage Mix Summary'!$F$10:$F$17),""))</f>
        <v/>
      </c>
      <c r="Y69" s="44" t="str">
        <f>IF($P69="Low",$T69,IF($P69="Mix",SUMIF('High_Low Voltage Mix Summary'!$B$10:$B$17,$B350,'High_Low Voltage Mix Summary'!$G$10:$G$17),""))</f>
        <v/>
      </c>
      <c r="Z69" s="44" t="str">
        <f>IF(OR($P69="High",$P69="Low"),"",IF($P69="Mix",SUMIF('High_Low Voltage Mix Summary'!$B$10:$B$17,$B350,'High_Low Voltage Mix Summary'!$H$10:$H$17),""))</f>
        <v/>
      </c>
      <c r="AB69" s="49">
        <f>SUMIF('Antelope Bailey Split BA'!$B$7:$B$29,B69,'Antelope Bailey Split BA'!$C$7:$C$29)</f>
        <v>0</v>
      </c>
      <c r="AC69" s="49" t="str">
        <f>IF(AND(AB69=1,'Plant Total by Account'!$H$1=2),"EKWRA","")</f>
        <v/>
      </c>
    </row>
    <row r="70" spans="1:29" x14ac:dyDescent="0.2">
      <c r="A70" s="39" t="s">
        <v>2377</v>
      </c>
      <c r="B70" s="40" t="s">
        <v>1156</v>
      </c>
      <c r="C70" s="40" t="s">
        <v>3331</v>
      </c>
      <c r="D70" s="53">
        <v>0</v>
      </c>
      <c r="E70" s="53">
        <v>7569.9800000000005</v>
      </c>
      <c r="F70" s="53">
        <v>0</v>
      </c>
      <c r="G70" s="578">
        <f t="shared" si="3"/>
        <v>7569.9800000000005</v>
      </c>
      <c r="H70" s="173"/>
      <c r="I70" s="173"/>
      <c r="J70" s="173"/>
      <c r="K70" s="173">
        <f t="shared" si="6"/>
        <v>0</v>
      </c>
      <c r="L70" s="173">
        <f t="shared" si="7"/>
        <v>7569.9800000000005</v>
      </c>
      <c r="M70" s="173">
        <f t="shared" si="8"/>
        <v>0</v>
      </c>
      <c r="N70" s="363">
        <f t="shared" si="4"/>
        <v>0</v>
      </c>
      <c r="O70" s="43" t="s">
        <v>3309</v>
      </c>
      <c r="P70" s="43"/>
      <c r="R70" s="41">
        <f t="shared" si="16"/>
        <v>0</v>
      </c>
      <c r="S70" s="41">
        <f t="shared" si="17"/>
        <v>0</v>
      </c>
      <c r="T70" s="41">
        <f t="shared" si="18"/>
        <v>0</v>
      </c>
      <c r="U70" s="41"/>
      <c r="V70" s="44" t="str">
        <f>IF($P70="High",$S70,IF($P70="Mix",SUMIF('High_Low Voltage Mix Summary'!$B$10:$B$17,$B10,'High_Low Voltage Mix Summary'!$D$10:$D$17),""))</f>
        <v/>
      </c>
      <c r="W70" s="44" t="str">
        <f>IF($P70="Low",$S70,IF($P70="Mix",SUMIF('High_Low Voltage Mix Summary'!$B$10:$B$17,$B10,'High_Low Voltage Mix Summary'!$E$10:$E$17),""))</f>
        <v/>
      </c>
      <c r="X70" s="44" t="str">
        <f>IF($P70="High",$T70,IF($P70="Mix",SUMIF('High_Low Voltage Mix Summary'!$B$10:$B$17,$B10,'High_Low Voltage Mix Summary'!$F$10:$F$17),""))</f>
        <v/>
      </c>
      <c r="Y70" s="44" t="str">
        <f>IF($P70="Low",$T70,IF($P70="Mix",SUMIF('High_Low Voltage Mix Summary'!$B$10:$B$17,$B10,'High_Low Voltage Mix Summary'!$G$10:$G$17),""))</f>
        <v/>
      </c>
      <c r="Z70" s="44" t="str">
        <f>IF(OR($P70="High",$P70="Low"),"",IF($P70="Mix",SUMIF('High_Low Voltage Mix Summary'!$B$10:$B$17,$B10,'High_Low Voltage Mix Summary'!$H$10:$H$17),""))</f>
        <v/>
      </c>
      <c r="AB70" s="49">
        <f>SUMIF('Antelope Bailey Split BA'!$B$7:$B$29,B70,'Antelope Bailey Split BA'!$C$7:$C$29)</f>
        <v>0</v>
      </c>
      <c r="AC70" s="49" t="str">
        <f>IF(AND(AB70=1,'Plant Total by Account'!$H$1=2),"EKWRA","")</f>
        <v/>
      </c>
    </row>
    <row r="71" spans="1:29" x14ac:dyDescent="0.2">
      <c r="A71" s="39" t="s">
        <v>2382</v>
      </c>
      <c r="B71" s="133" t="s">
        <v>174</v>
      </c>
      <c r="C71" s="40" t="s">
        <v>3331</v>
      </c>
      <c r="D71" s="53">
        <v>0</v>
      </c>
      <c r="E71" s="53">
        <v>13260.78</v>
      </c>
      <c r="F71" s="53">
        <v>0</v>
      </c>
      <c r="G71" s="578">
        <f t="shared" si="3"/>
        <v>13260.78</v>
      </c>
      <c r="H71" s="173"/>
      <c r="I71" s="173"/>
      <c r="J71" s="173"/>
      <c r="K71" s="173">
        <f t="shared" si="6"/>
        <v>0</v>
      </c>
      <c r="L71" s="173">
        <f t="shared" si="7"/>
        <v>13260.78</v>
      </c>
      <c r="M71" s="173">
        <f t="shared" si="8"/>
        <v>0</v>
      </c>
      <c r="N71" s="363">
        <f t="shared" si="4"/>
        <v>0</v>
      </c>
      <c r="O71" s="43" t="s">
        <v>3309</v>
      </c>
      <c r="P71" s="43"/>
      <c r="R71" s="41">
        <f t="shared" si="16"/>
        <v>0</v>
      </c>
      <c r="S71" s="41">
        <f t="shared" si="17"/>
        <v>0</v>
      </c>
      <c r="T71" s="41">
        <f t="shared" si="18"/>
        <v>0</v>
      </c>
      <c r="U71" s="41"/>
      <c r="V71" s="44" t="str">
        <f>IF($P71="High",$S71,IF($P71="Mix",SUMIF('High_Low Voltage Mix Summary'!$B$10:$B$17,$B351,'High_Low Voltage Mix Summary'!$D$10:$D$17),""))</f>
        <v/>
      </c>
      <c r="W71" s="44" t="str">
        <f>IF($P71="Low",$S71,IF($P71="Mix",SUMIF('High_Low Voltage Mix Summary'!$B$10:$B$17,$B351,'High_Low Voltage Mix Summary'!$E$10:$E$17),""))</f>
        <v/>
      </c>
      <c r="X71" s="44" t="str">
        <f>IF($P71="High",$T71,IF($P71="Mix",SUMIF('High_Low Voltage Mix Summary'!$B$10:$B$17,$B351,'High_Low Voltage Mix Summary'!$F$10:$F$17),""))</f>
        <v/>
      </c>
      <c r="Y71" s="44" t="str">
        <f>IF($P71="Low",$T71,IF($P71="Mix",SUMIF('High_Low Voltage Mix Summary'!$B$10:$B$17,$B351,'High_Low Voltage Mix Summary'!$G$10:$G$17),""))</f>
        <v/>
      </c>
      <c r="Z71" s="44" t="str">
        <f>IF(OR($P71="High",$P71="Low"),"",IF($P71="Mix",SUMIF('High_Low Voltage Mix Summary'!$B$10:$B$17,$B351,'High_Low Voltage Mix Summary'!$H$10:$H$17),""))</f>
        <v/>
      </c>
      <c r="AB71" s="49">
        <f>SUMIF('Antelope Bailey Split BA'!$B$7:$B$29,B71,'Antelope Bailey Split BA'!$C$7:$C$29)</f>
        <v>0</v>
      </c>
      <c r="AC71" s="49" t="str">
        <f>IF(AND(AB71=1,'Plant Total by Account'!$H$1=2),"EKWRA","")</f>
        <v/>
      </c>
    </row>
    <row r="72" spans="1:29" x14ac:dyDescent="0.2">
      <c r="A72" s="39" t="s">
        <v>2383</v>
      </c>
      <c r="B72" s="132" t="s">
        <v>175</v>
      </c>
      <c r="C72" s="40" t="s">
        <v>3331</v>
      </c>
      <c r="D72" s="53">
        <v>0</v>
      </c>
      <c r="E72" s="53">
        <v>61293.96</v>
      </c>
      <c r="F72" s="53">
        <v>0</v>
      </c>
      <c r="G72" s="578">
        <f t="shared" si="3"/>
        <v>61293.96</v>
      </c>
      <c r="H72" s="173"/>
      <c r="I72" s="173"/>
      <c r="J72" s="173"/>
      <c r="K72" s="173">
        <f t="shared" si="6"/>
        <v>0</v>
      </c>
      <c r="L72" s="173">
        <f t="shared" si="7"/>
        <v>61293.96</v>
      </c>
      <c r="M72" s="173">
        <f t="shared" si="8"/>
        <v>0</v>
      </c>
      <c r="N72" s="363">
        <f t="shared" si="4"/>
        <v>0</v>
      </c>
      <c r="O72" s="43" t="s">
        <v>3309</v>
      </c>
      <c r="P72" s="43"/>
      <c r="R72" s="41">
        <f t="shared" si="16"/>
        <v>0</v>
      </c>
      <c r="S72" s="41">
        <f t="shared" si="17"/>
        <v>0</v>
      </c>
      <c r="T72" s="41">
        <f t="shared" si="18"/>
        <v>0</v>
      </c>
      <c r="U72" s="41"/>
      <c r="V72" s="44" t="str">
        <f>IF($P72="High",$S72,IF($P72="Mix",SUMIF('High_Low Voltage Mix Summary'!$B$10:$B$17,$B355,'High_Low Voltage Mix Summary'!$D$10:$D$17),""))</f>
        <v/>
      </c>
      <c r="W72" s="44" t="str">
        <f>IF($P72="Low",$S72,IF($P72="Mix",SUMIF('High_Low Voltage Mix Summary'!$B$10:$B$17,$B355,'High_Low Voltage Mix Summary'!$E$10:$E$17),""))</f>
        <v/>
      </c>
      <c r="X72" s="44" t="str">
        <f>IF($P72="High",$T72,IF($P72="Mix",SUMIF('High_Low Voltage Mix Summary'!$B$10:$B$17,$B355,'High_Low Voltage Mix Summary'!$F$10:$F$17),""))</f>
        <v/>
      </c>
      <c r="Y72" s="44" t="str">
        <f>IF($P72="Low",$T72,IF($P72="Mix",SUMIF('High_Low Voltage Mix Summary'!$B$10:$B$17,$B355,'High_Low Voltage Mix Summary'!$G$10:$G$17),""))</f>
        <v/>
      </c>
      <c r="Z72" s="44" t="str">
        <f>IF(OR($P72="High",$P72="Low"),"",IF($P72="Mix",SUMIF('High_Low Voltage Mix Summary'!$B$10:$B$17,$B355,'High_Low Voltage Mix Summary'!$H$10:$H$17),""))</f>
        <v/>
      </c>
      <c r="AB72" s="49">
        <f>SUMIF('Antelope Bailey Split BA'!$B$7:$B$29,B72,'Antelope Bailey Split BA'!$C$7:$C$29)</f>
        <v>0</v>
      </c>
      <c r="AC72" s="49" t="str">
        <f>IF(AND(AB72=1,'Plant Total by Account'!$H$1=2),"EKWRA","")</f>
        <v/>
      </c>
    </row>
    <row r="73" spans="1:29" x14ac:dyDescent="0.2">
      <c r="A73" s="39" t="s">
        <v>103</v>
      </c>
      <c r="B73" s="40" t="s">
        <v>1160</v>
      </c>
      <c r="C73" s="40" t="s">
        <v>3331</v>
      </c>
      <c r="D73" s="53">
        <v>0</v>
      </c>
      <c r="E73" s="53">
        <v>0</v>
      </c>
      <c r="F73" s="53">
        <v>649973.86</v>
      </c>
      <c r="G73" s="578">
        <f t="shared" si="3"/>
        <v>649973.86</v>
      </c>
      <c r="H73" s="173"/>
      <c r="I73" s="173"/>
      <c r="J73" s="173"/>
      <c r="K73" s="173">
        <f t="shared" si="6"/>
        <v>0</v>
      </c>
      <c r="L73" s="173">
        <f t="shared" si="7"/>
        <v>0</v>
      </c>
      <c r="M73" s="173">
        <f t="shared" si="8"/>
        <v>649973.86</v>
      </c>
      <c r="N73" s="363">
        <f t="shared" si="4"/>
        <v>0</v>
      </c>
      <c r="O73" s="43" t="s">
        <v>3309</v>
      </c>
      <c r="P73" s="43"/>
      <c r="R73" s="41">
        <f t="shared" si="16"/>
        <v>0</v>
      </c>
      <c r="S73" s="41">
        <f t="shared" si="17"/>
        <v>0</v>
      </c>
      <c r="T73" s="41">
        <f t="shared" si="18"/>
        <v>0</v>
      </c>
      <c r="U73" s="41"/>
      <c r="V73" s="44" t="str">
        <f>IF($P73="High",$S73,IF($P73="Mix",SUMIF('High_Low Voltage Mix Summary'!$B$10:$B$17,$B360,'High_Low Voltage Mix Summary'!$D$10:$D$17),""))</f>
        <v/>
      </c>
      <c r="W73" s="44" t="str">
        <f>IF($P73="Low",$S73,IF($P73="Mix",SUMIF('High_Low Voltage Mix Summary'!$B$10:$B$17,$B360,'High_Low Voltage Mix Summary'!$E$10:$E$17),""))</f>
        <v/>
      </c>
      <c r="X73" s="44" t="str">
        <f>IF($P73="High",$T73,IF($P73="Mix",SUMIF('High_Low Voltage Mix Summary'!$B$10:$B$17,$B360,'High_Low Voltage Mix Summary'!$F$10:$F$17),""))</f>
        <v/>
      </c>
      <c r="Y73" s="44" t="str">
        <f>IF($P73="Low",$T73,IF($P73="Mix",SUMIF('High_Low Voltage Mix Summary'!$B$10:$B$17,$B360,'High_Low Voltage Mix Summary'!$G$10:$G$17),""))</f>
        <v/>
      </c>
      <c r="Z73" s="44" t="str">
        <f>IF(OR($P73="High",$P73="Low"),"",IF($P73="Mix",SUMIF('High_Low Voltage Mix Summary'!$B$10:$B$17,$B360,'High_Low Voltage Mix Summary'!$H$10:$H$17),""))</f>
        <v/>
      </c>
      <c r="AB73" s="49">
        <f>SUMIF('Antelope Bailey Split BA'!$B$7:$B$29,B73,'Antelope Bailey Split BA'!$C$7:$C$29)</f>
        <v>0</v>
      </c>
      <c r="AC73" s="49" t="str">
        <f>IF(AND(AB73=1,'Plant Total by Account'!$H$1=2),"EKWRA","")</f>
        <v/>
      </c>
    </row>
    <row r="74" spans="1:29" x14ac:dyDescent="0.2">
      <c r="A74" s="39" t="s">
        <v>2384</v>
      </c>
      <c r="B74" s="45" t="s">
        <v>176</v>
      </c>
      <c r="C74" s="40" t="s">
        <v>3331</v>
      </c>
      <c r="D74" s="53">
        <v>0</v>
      </c>
      <c r="E74" s="53">
        <v>0</v>
      </c>
      <c r="F74" s="53">
        <v>169.09</v>
      </c>
      <c r="G74" s="578">
        <f t="shared" si="3"/>
        <v>169.09</v>
      </c>
      <c r="H74" s="173"/>
      <c r="I74" s="173"/>
      <c r="J74" s="173"/>
      <c r="K74" s="173">
        <f t="shared" si="6"/>
        <v>0</v>
      </c>
      <c r="L74" s="173">
        <f t="shared" si="7"/>
        <v>0</v>
      </c>
      <c r="M74" s="173">
        <f t="shared" si="8"/>
        <v>169.09</v>
      </c>
      <c r="N74" s="363">
        <f t="shared" si="4"/>
        <v>0</v>
      </c>
      <c r="O74" s="43" t="s">
        <v>3309</v>
      </c>
      <c r="P74" s="43"/>
      <c r="R74" s="41">
        <f t="shared" si="16"/>
        <v>0</v>
      </c>
      <c r="S74" s="41">
        <f t="shared" si="17"/>
        <v>0</v>
      </c>
      <c r="T74" s="41">
        <f t="shared" si="18"/>
        <v>0</v>
      </c>
      <c r="U74" s="41"/>
      <c r="V74" s="44" t="str">
        <f>IF($P74="High",$S74,IF($P74="Mix",SUMIF('High_Low Voltage Mix Summary'!$B$10:$B$17,$B367,'High_Low Voltage Mix Summary'!$D$10:$D$17),""))</f>
        <v/>
      </c>
      <c r="W74" s="44" t="str">
        <f>IF($P74="Low",$S74,IF($P74="Mix",SUMIF('High_Low Voltage Mix Summary'!$B$10:$B$17,$B367,'High_Low Voltage Mix Summary'!$E$10:$E$17),""))</f>
        <v/>
      </c>
      <c r="X74" s="44" t="str">
        <f>IF($P74="High",$T74,IF($P74="Mix",SUMIF('High_Low Voltage Mix Summary'!$B$10:$B$17,$B367,'High_Low Voltage Mix Summary'!$F$10:$F$17),""))</f>
        <v/>
      </c>
      <c r="Y74" s="44" t="str">
        <f>IF($P74="Low",$T74,IF($P74="Mix",SUMIF('High_Low Voltage Mix Summary'!$B$10:$B$17,$B367,'High_Low Voltage Mix Summary'!$G$10:$G$17),""))</f>
        <v/>
      </c>
      <c r="Z74" s="44" t="str">
        <f>IF(OR($P74="High",$P74="Low"),"",IF($P74="Mix",SUMIF('High_Low Voltage Mix Summary'!$B$10:$B$17,$B367,'High_Low Voltage Mix Summary'!$H$10:$H$17),""))</f>
        <v/>
      </c>
      <c r="AB74" s="49">
        <f>SUMIF('Antelope Bailey Split BA'!$B$7:$B$29,B74,'Antelope Bailey Split BA'!$C$7:$C$29)</f>
        <v>0</v>
      </c>
      <c r="AC74" s="49" t="str">
        <f>IF(AND(AB74=1,'Plant Total by Account'!$H$1=2),"EKWRA","")</f>
        <v/>
      </c>
    </row>
    <row r="75" spans="1:29" x14ac:dyDescent="0.2">
      <c r="A75" s="39" t="s">
        <v>116</v>
      </c>
      <c r="B75" s="45" t="s">
        <v>1340</v>
      </c>
      <c r="C75" s="40" t="s">
        <v>3334</v>
      </c>
      <c r="D75" s="167">
        <v>0</v>
      </c>
      <c r="E75" s="167">
        <v>220256.26</v>
      </c>
      <c r="F75" s="167">
        <v>5770503.6499999994</v>
      </c>
      <c r="G75" s="578">
        <f t="shared" ref="G75:G138" si="19">SUM(D75:F75)</f>
        <v>5990759.9099999992</v>
      </c>
      <c r="H75" s="173"/>
      <c r="I75" s="173"/>
      <c r="J75" s="173"/>
      <c r="K75" s="173">
        <f t="shared" si="6"/>
        <v>0</v>
      </c>
      <c r="L75" s="173">
        <f t="shared" si="7"/>
        <v>220256.26</v>
      </c>
      <c r="M75" s="173">
        <f t="shared" si="8"/>
        <v>5770503.6499999994</v>
      </c>
      <c r="N75" s="363">
        <f t="shared" ref="N75:N138" si="20">G75-SUM(H75:M75)</f>
        <v>0</v>
      </c>
      <c r="O75" s="43" t="s">
        <v>3309</v>
      </c>
      <c r="P75" s="43"/>
      <c r="R75" s="41">
        <f t="shared" si="16"/>
        <v>0</v>
      </c>
      <c r="S75" s="41">
        <f t="shared" si="17"/>
        <v>0</v>
      </c>
      <c r="T75" s="41">
        <f t="shared" si="18"/>
        <v>0</v>
      </c>
      <c r="U75" s="41"/>
      <c r="V75" s="44" t="str">
        <f>IF($P75="High",$S75,IF($P75="Mix",SUMIF('High_Low Voltage Mix Summary'!$B$10:$B$17,#REF!,'High_Low Voltage Mix Summary'!$D$10:$D$17),""))</f>
        <v/>
      </c>
      <c r="W75" s="44" t="str">
        <f>IF($P75="Low",$S75,IF($P75="Mix",SUMIF('High_Low Voltage Mix Summary'!$B$10:$B$17,#REF!,'High_Low Voltage Mix Summary'!$E$10:$E$17),""))</f>
        <v/>
      </c>
      <c r="X75" s="44" t="str">
        <f>IF($P75="High",$T75,IF($P75="Mix",SUMIF('High_Low Voltage Mix Summary'!$B$10:$B$17,#REF!,'High_Low Voltage Mix Summary'!$F$10:$F$17),""))</f>
        <v/>
      </c>
      <c r="Y75" s="44" t="str">
        <f>IF($P75="Low",$T75,IF($P75="Mix",SUMIF('High_Low Voltage Mix Summary'!$B$10:$B$17,#REF!,'High_Low Voltage Mix Summary'!$G$10:$G$17),""))</f>
        <v/>
      </c>
      <c r="Z75" s="44" t="str">
        <f>IF(OR($P75="High",$P75="Low"),"",IF($P75="Mix",SUMIF('High_Low Voltage Mix Summary'!$B$10:$B$17,#REF!,'High_Low Voltage Mix Summary'!$H$10:$H$17),""))</f>
        <v/>
      </c>
      <c r="AB75" s="49">
        <f>SUMIF('Antelope Bailey Split BA'!$B$7:$B$29,B75,'Antelope Bailey Split BA'!$C$7:$C$29)</f>
        <v>0</v>
      </c>
      <c r="AC75" s="49" t="str">
        <f>IF(AND(AB75=1,'Plant Total by Account'!$H$1=2),"EKWRA","")</f>
        <v/>
      </c>
    </row>
    <row r="76" spans="1:29" x14ac:dyDescent="0.2">
      <c r="A76" s="39" t="s">
        <v>2388</v>
      </c>
      <c r="B76" s="40" t="s">
        <v>1163</v>
      </c>
      <c r="C76" s="40" t="s">
        <v>3331</v>
      </c>
      <c r="D76" s="53">
        <v>0</v>
      </c>
      <c r="E76" s="53">
        <v>0</v>
      </c>
      <c r="F76" s="53">
        <v>16696.55</v>
      </c>
      <c r="G76" s="578">
        <f t="shared" si="19"/>
        <v>16696.55</v>
      </c>
      <c r="H76" s="173"/>
      <c r="I76" s="173"/>
      <c r="J76" s="173"/>
      <c r="K76" s="173">
        <f t="shared" si="6"/>
        <v>0</v>
      </c>
      <c r="L76" s="173">
        <f t="shared" si="7"/>
        <v>0</v>
      </c>
      <c r="M76" s="173">
        <f t="shared" si="8"/>
        <v>16696.55</v>
      </c>
      <c r="N76" s="363">
        <f t="shared" si="20"/>
        <v>0</v>
      </c>
      <c r="O76" s="43" t="s">
        <v>3309</v>
      </c>
      <c r="P76" s="43"/>
      <c r="R76" s="41">
        <f t="shared" si="16"/>
        <v>0</v>
      </c>
      <c r="S76" s="41">
        <f t="shared" si="17"/>
        <v>0</v>
      </c>
      <c r="T76" s="41">
        <f t="shared" si="18"/>
        <v>0</v>
      </c>
      <c r="U76" s="41"/>
      <c r="V76" s="44" t="str">
        <f>IF($P76="High",$S76,IF($P76="Mix",SUMIF('High_Low Voltage Mix Summary'!$B$10:$B$17,$B379,'High_Low Voltage Mix Summary'!$D$10:$D$17),""))</f>
        <v/>
      </c>
      <c r="W76" s="44" t="str">
        <f>IF($P76="Low",$S76,IF($P76="Mix",SUMIF('High_Low Voltage Mix Summary'!$B$10:$B$17,$B379,'High_Low Voltage Mix Summary'!$E$10:$E$17),""))</f>
        <v/>
      </c>
      <c r="X76" s="44" t="str">
        <f>IF($P76="High",$T76,IF($P76="Mix",SUMIF('High_Low Voltage Mix Summary'!$B$10:$B$17,$B379,'High_Low Voltage Mix Summary'!$F$10:$F$17),""))</f>
        <v/>
      </c>
      <c r="Y76" s="44" t="str">
        <f>IF($P76="Low",$T76,IF($P76="Mix",SUMIF('High_Low Voltage Mix Summary'!$B$10:$B$17,$B379,'High_Low Voltage Mix Summary'!$G$10:$G$17),""))</f>
        <v/>
      </c>
      <c r="Z76" s="44" t="str">
        <f>IF(OR($P76="High",$P76="Low"),"",IF($P76="Mix",SUMIF('High_Low Voltage Mix Summary'!$B$10:$B$17,$B379,'High_Low Voltage Mix Summary'!$H$10:$H$17),""))</f>
        <v/>
      </c>
      <c r="AB76" s="49">
        <f>SUMIF('Antelope Bailey Split BA'!$B$7:$B$29,B76,'Antelope Bailey Split BA'!$C$7:$C$29)</f>
        <v>0</v>
      </c>
      <c r="AC76" s="49" t="str">
        <f>IF(AND(AB76=1,'Plant Total by Account'!$H$1=2),"EKWRA","")</f>
        <v/>
      </c>
    </row>
    <row r="77" spans="1:29" x14ac:dyDescent="0.2">
      <c r="A77" s="39" t="s">
        <v>2390</v>
      </c>
      <c r="B77" s="133" t="s">
        <v>1165</v>
      </c>
      <c r="C77" s="40" t="s">
        <v>3330</v>
      </c>
      <c r="D77" s="53">
        <v>0</v>
      </c>
      <c r="E77" s="53">
        <v>0</v>
      </c>
      <c r="F77" s="53">
        <v>26595.450000000004</v>
      </c>
      <c r="G77" s="578">
        <f t="shared" si="19"/>
        <v>26595.450000000004</v>
      </c>
      <c r="H77" s="41"/>
      <c r="I77" s="41"/>
      <c r="J77" s="41"/>
      <c r="K77" s="41">
        <f t="shared" si="6"/>
        <v>0</v>
      </c>
      <c r="L77" s="41">
        <f t="shared" si="7"/>
        <v>0</v>
      </c>
      <c r="M77" s="41">
        <f t="shared" si="8"/>
        <v>26595.450000000004</v>
      </c>
      <c r="N77" s="363">
        <f t="shared" si="20"/>
        <v>0</v>
      </c>
      <c r="O77" s="43" t="s">
        <v>3309</v>
      </c>
      <c r="P77" s="43"/>
      <c r="R77" s="41">
        <f t="shared" si="16"/>
        <v>0</v>
      </c>
      <c r="S77" s="41">
        <f t="shared" si="17"/>
        <v>0</v>
      </c>
      <c r="T77" s="41">
        <f t="shared" si="18"/>
        <v>0</v>
      </c>
      <c r="U77" s="41"/>
      <c r="V77" s="44" t="str">
        <f>IF($P77="High",$S77,IF($P77="Mix",SUMIF('High_Low Voltage Mix Summary'!$B$10:$B$17,$B1578,'High_Low Voltage Mix Summary'!$D$10:$D$17),""))</f>
        <v/>
      </c>
      <c r="W77" s="44" t="str">
        <f>IF($P77="Low",$S77,IF($P77="Mix",SUMIF('High_Low Voltage Mix Summary'!$B$10:$B$17,$B1578,'High_Low Voltage Mix Summary'!$E$10:$E$17),""))</f>
        <v/>
      </c>
      <c r="X77" s="44" t="str">
        <f>IF($P77="High",$T77,IF($P77="Mix",SUMIF('High_Low Voltage Mix Summary'!$B$10:$B$17,$B1578,'High_Low Voltage Mix Summary'!$F$10:$F$17),""))</f>
        <v/>
      </c>
      <c r="Y77" s="44" t="str">
        <f>IF($P77="Low",$T77,IF($P77="Mix",SUMIF('High_Low Voltage Mix Summary'!$B$10:$B$17,$B1578,'High_Low Voltage Mix Summary'!$G$10:$G$17),""))</f>
        <v/>
      </c>
      <c r="Z77" s="44" t="str">
        <f>IF(OR($P77="High",$P77="Low"),"",IF($P77="Mix",SUMIF('High_Low Voltage Mix Summary'!$B$10:$B$17,$B1578,'High_Low Voltage Mix Summary'!$H$10:$H$17),""))</f>
        <v/>
      </c>
      <c r="AB77" s="49">
        <f>SUMIF('Antelope Bailey Split BA'!$B$7:$B$29,B77,'Antelope Bailey Split BA'!$C$7:$C$29)</f>
        <v>0</v>
      </c>
      <c r="AC77" s="49" t="str">
        <f>IF(AND(AB77=1,'Plant Total by Account'!$H$1=2),"EKWRA","")</f>
        <v/>
      </c>
    </row>
    <row r="78" spans="1:29" x14ac:dyDescent="0.2">
      <c r="A78" s="39" t="s">
        <v>2396</v>
      </c>
      <c r="B78" s="45" t="s">
        <v>177</v>
      </c>
      <c r="C78" s="20" t="s">
        <v>3331</v>
      </c>
      <c r="D78" s="53">
        <v>0</v>
      </c>
      <c r="E78" s="53">
        <v>0</v>
      </c>
      <c r="F78" s="53">
        <v>264.82</v>
      </c>
      <c r="G78" s="578">
        <f t="shared" si="19"/>
        <v>264.82</v>
      </c>
      <c r="H78" s="173"/>
      <c r="I78" s="173"/>
      <c r="J78" s="173"/>
      <c r="K78" s="173">
        <f t="shared" si="6"/>
        <v>0</v>
      </c>
      <c r="L78" s="173">
        <f t="shared" si="7"/>
        <v>0</v>
      </c>
      <c r="M78" s="173">
        <f t="shared" si="8"/>
        <v>264.82</v>
      </c>
      <c r="N78" s="363">
        <f t="shared" si="20"/>
        <v>0</v>
      </c>
      <c r="O78" s="43" t="s">
        <v>3309</v>
      </c>
      <c r="P78" s="43"/>
      <c r="R78" s="41">
        <f t="shared" si="16"/>
        <v>0</v>
      </c>
      <c r="S78" s="41">
        <f t="shared" si="17"/>
        <v>0</v>
      </c>
      <c r="T78" s="41">
        <f t="shared" si="18"/>
        <v>0</v>
      </c>
      <c r="U78" s="41"/>
      <c r="V78" s="44" t="str">
        <f>IF($P78="High",$S78,IF($P78="Mix",SUMIF('High_Low Voltage Mix Summary'!$B$10:$B$17,$B381,'High_Low Voltage Mix Summary'!$D$10:$D$17),""))</f>
        <v/>
      </c>
      <c r="W78" s="44" t="str">
        <f>IF($P78="Low",$S78,IF($P78="Mix",SUMIF('High_Low Voltage Mix Summary'!$B$10:$B$17,$B381,'High_Low Voltage Mix Summary'!$E$10:$E$17),""))</f>
        <v/>
      </c>
      <c r="X78" s="44" t="str">
        <f>IF($P78="High",$T78,IF($P78="Mix",SUMIF('High_Low Voltage Mix Summary'!$B$10:$B$17,$B381,'High_Low Voltage Mix Summary'!$F$10:$F$17),""))</f>
        <v/>
      </c>
      <c r="Y78" s="44" t="str">
        <f>IF($P78="Low",$T78,IF($P78="Mix",SUMIF('High_Low Voltage Mix Summary'!$B$10:$B$17,$B381,'High_Low Voltage Mix Summary'!$G$10:$G$17),""))</f>
        <v/>
      </c>
      <c r="Z78" s="44" t="str">
        <f>IF(OR($P78="High",$P78="Low"),"",IF($P78="Mix",SUMIF('High_Low Voltage Mix Summary'!$B$10:$B$17,$B381,'High_Low Voltage Mix Summary'!$H$10:$H$17),""))</f>
        <v/>
      </c>
      <c r="AB78" s="49">
        <f>SUMIF('Antelope Bailey Split BA'!$B$7:$B$29,B78,'Antelope Bailey Split BA'!$C$7:$C$29)</f>
        <v>0</v>
      </c>
      <c r="AC78" s="49" t="str">
        <f>IF(AND(AB78=1,'Plant Total by Account'!$H$1=2),"EKWRA","")</f>
        <v/>
      </c>
    </row>
    <row r="79" spans="1:29" x14ac:dyDescent="0.2">
      <c r="A79" s="39" t="s">
        <v>2624</v>
      </c>
      <c r="B79" s="133" t="s">
        <v>178</v>
      </c>
      <c r="C79" s="40"/>
      <c r="D79" s="53">
        <v>0</v>
      </c>
      <c r="E79" s="53">
        <v>194833.27000000002</v>
      </c>
      <c r="F79" s="53">
        <v>618308.97000000009</v>
      </c>
      <c r="G79" s="578">
        <f t="shared" si="19"/>
        <v>813142.24000000011</v>
      </c>
      <c r="H79" s="41"/>
      <c r="I79" s="41"/>
      <c r="J79" s="41"/>
      <c r="K79" s="41">
        <f t="shared" ref="K79:K142" si="21">D79</f>
        <v>0</v>
      </c>
      <c r="L79" s="41">
        <f t="shared" ref="L79:L142" si="22">E79</f>
        <v>194833.27000000002</v>
      </c>
      <c r="M79" s="41">
        <f t="shared" ref="M79:M142" si="23">F79</f>
        <v>618308.97000000009</v>
      </c>
      <c r="N79" s="363">
        <f t="shared" si="20"/>
        <v>0</v>
      </c>
      <c r="O79" s="43" t="s">
        <v>3309</v>
      </c>
      <c r="P79" s="43"/>
      <c r="R79" s="41">
        <f t="shared" si="16"/>
        <v>0</v>
      </c>
      <c r="S79" s="41">
        <f t="shared" si="17"/>
        <v>0</v>
      </c>
      <c r="T79" s="41">
        <f t="shared" si="18"/>
        <v>0</v>
      </c>
      <c r="U79" s="41"/>
      <c r="V79" s="44" t="str">
        <f>IF($P79="High",$S79,IF($P79="Mix",SUMIF('High_Low Voltage Mix Summary'!$B$10:$B$17,$B360,'High_Low Voltage Mix Summary'!$D$10:$D$17),""))</f>
        <v/>
      </c>
      <c r="W79" s="44" t="str">
        <f>IF($P79="Low",$S79,IF($P79="Mix",SUMIF('High_Low Voltage Mix Summary'!$B$10:$B$17,$B360,'High_Low Voltage Mix Summary'!$E$10:$E$17),""))</f>
        <v/>
      </c>
      <c r="X79" s="44" t="str">
        <f>IF($P79="High",$T79,IF($P79="Mix",SUMIF('High_Low Voltage Mix Summary'!$B$10:$B$17,$B360,'High_Low Voltage Mix Summary'!$F$10:$F$17),""))</f>
        <v/>
      </c>
      <c r="Y79" s="44" t="str">
        <f>IF($P79="Low",$T79,IF($P79="Mix",SUMIF('High_Low Voltage Mix Summary'!$B$10:$B$17,$B360,'High_Low Voltage Mix Summary'!$G$10:$G$17),""))</f>
        <v/>
      </c>
      <c r="Z79" s="44" t="str">
        <f>IF(OR($P79="High",$P79="Low"),"",IF($P79="Mix",SUMIF('High_Low Voltage Mix Summary'!$B$10:$B$17,$B360,'High_Low Voltage Mix Summary'!$H$10:$H$17),""))</f>
        <v/>
      </c>
      <c r="AB79" s="49">
        <f>SUMIF('Antelope Bailey Split BA'!$B$7:$B$29,B79,'Antelope Bailey Split BA'!$C$7:$C$29)</f>
        <v>0</v>
      </c>
      <c r="AC79" s="49" t="str">
        <f>IF(AND(AB79=1,'Plant Total by Account'!$H$1=2),"EKWRA","")</f>
        <v/>
      </c>
    </row>
    <row r="80" spans="1:29" x14ac:dyDescent="0.2">
      <c r="A80" s="39" t="s">
        <v>2397</v>
      </c>
      <c r="B80" s="43" t="s">
        <v>179</v>
      </c>
      <c r="C80" s="40" t="s">
        <v>3334</v>
      </c>
      <c r="D80" s="53">
        <v>90249.35</v>
      </c>
      <c r="E80" s="53">
        <v>235848.42999999996</v>
      </c>
      <c r="F80" s="53">
        <v>6086502.2499999944</v>
      </c>
      <c r="G80" s="578">
        <f t="shared" si="19"/>
        <v>6412600.0299999947</v>
      </c>
      <c r="H80" s="41"/>
      <c r="I80" s="41"/>
      <c r="J80" s="41"/>
      <c r="K80" s="41">
        <f t="shared" si="21"/>
        <v>90249.35</v>
      </c>
      <c r="L80" s="41">
        <f t="shared" si="22"/>
        <v>235848.42999999996</v>
      </c>
      <c r="M80" s="41">
        <f t="shared" si="23"/>
        <v>6086502.2499999944</v>
      </c>
      <c r="N80" s="363">
        <f t="shared" si="20"/>
        <v>0</v>
      </c>
      <c r="O80" s="43" t="s">
        <v>3309</v>
      </c>
      <c r="P80" s="43"/>
      <c r="R80" s="41">
        <f t="shared" si="16"/>
        <v>0</v>
      </c>
      <c r="S80" s="41">
        <f t="shared" si="17"/>
        <v>0</v>
      </c>
      <c r="T80" s="41">
        <f t="shared" si="18"/>
        <v>0</v>
      </c>
      <c r="U80" s="41"/>
      <c r="V80" s="44" t="str">
        <f>IF($P80="High",$S80,IF($P80="Mix",SUMIF('High_Low Voltage Mix Summary'!$B$10:$B$17,$B582,'High_Low Voltage Mix Summary'!$D$10:$D$17),""))</f>
        <v/>
      </c>
      <c r="W80" s="44" t="str">
        <f>IF($P80="Low",$S80,IF($P80="Mix",SUMIF('High_Low Voltage Mix Summary'!$B$10:$B$17,$B582,'High_Low Voltage Mix Summary'!$E$10:$E$17),""))</f>
        <v/>
      </c>
      <c r="X80" s="44" t="str">
        <f>IF($P80="High",$T80,IF($P80="Mix",SUMIF('High_Low Voltage Mix Summary'!$B$10:$B$17,$B582,'High_Low Voltage Mix Summary'!$F$10:$F$17),""))</f>
        <v/>
      </c>
      <c r="Y80" s="44" t="str">
        <f>IF($P80="Low",$T80,IF($P80="Mix",SUMIF('High_Low Voltage Mix Summary'!$B$10:$B$17,$B582,'High_Low Voltage Mix Summary'!$G$10:$G$17),""))</f>
        <v/>
      </c>
      <c r="Z80" s="44" t="str">
        <f>IF(OR($P80="High",$P80="Low"),"",IF($P80="Mix",SUMIF('High_Low Voltage Mix Summary'!$B$10:$B$17,$B582,'High_Low Voltage Mix Summary'!$H$10:$H$17),""))</f>
        <v/>
      </c>
      <c r="AB80" s="49">
        <f>SUMIF('Antelope Bailey Split BA'!$B$7:$B$29,B80,'Antelope Bailey Split BA'!$C$7:$C$29)</f>
        <v>0</v>
      </c>
      <c r="AC80" s="49" t="str">
        <f>IF(AND(AB80=1,'Plant Total by Account'!$H$1=2),"EKWRA","")</f>
        <v/>
      </c>
    </row>
    <row r="81" spans="1:29" x14ac:dyDescent="0.2">
      <c r="A81" s="39" t="s">
        <v>2644</v>
      </c>
      <c r="B81" s="45" t="s">
        <v>180</v>
      </c>
      <c r="C81" s="40" t="s">
        <v>3333</v>
      </c>
      <c r="D81" s="53">
        <v>4232.1499999999996</v>
      </c>
      <c r="E81" s="53">
        <v>53635.020000000004</v>
      </c>
      <c r="F81" s="53">
        <v>1343889.3599999996</v>
      </c>
      <c r="G81" s="578">
        <f t="shared" si="19"/>
        <v>1401756.5299999996</v>
      </c>
      <c r="H81" s="41"/>
      <c r="I81" s="41"/>
      <c r="J81" s="41"/>
      <c r="K81" s="41">
        <f t="shared" si="21"/>
        <v>4232.1499999999996</v>
      </c>
      <c r="L81" s="41">
        <f t="shared" si="22"/>
        <v>53635.020000000004</v>
      </c>
      <c r="M81" s="41">
        <f t="shared" si="23"/>
        <v>1343889.3599999996</v>
      </c>
      <c r="N81" s="363">
        <f t="shared" si="20"/>
        <v>0</v>
      </c>
      <c r="O81" s="43" t="s">
        <v>3309</v>
      </c>
      <c r="P81" s="43"/>
      <c r="R81" s="41">
        <f t="shared" si="16"/>
        <v>0</v>
      </c>
      <c r="S81" s="41">
        <f t="shared" si="17"/>
        <v>0</v>
      </c>
      <c r="T81" s="41">
        <f t="shared" si="18"/>
        <v>0</v>
      </c>
      <c r="U81" s="41"/>
      <c r="V81" s="44" t="str">
        <f>IF($P81="High",$S81,IF($P81="Mix",SUMIF('High_Low Voltage Mix Summary'!$B$10:$B$17,$B794,'High_Low Voltage Mix Summary'!$D$10:$D$17),""))</f>
        <v/>
      </c>
      <c r="W81" s="44" t="str">
        <f>IF($P81="Low",$S81,IF($P81="Mix",SUMIF('High_Low Voltage Mix Summary'!$B$10:$B$17,$B794,'High_Low Voltage Mix Summary'!$E$10:$E$17),""))</f>
        <v/>
      </c>
      <c r="X81" s="44" t="str">
        <f>IF($P81="High",$T81,IF($P81="Mix",SUMIF('High_Low Voltage Mix Summary'!$B$10:$B$17,$B794,'High_Low Voltage Mix Summary'!$F$10:$F$17),""))</f>
        <v/>
      </c>
      <c r="Y81" s="44" t="str">
        <f>IF($P81="Low",$T81,IF($P81="Mix",SUMIF('High_Low Voltage Mix Summary'!$B$10:$B$17,$B794,'High_Low Voltage Mix Summary'!$G$10:$G$17),""))</f>
        <v/>
      </c>
      <c r="Z81" s="44" t="str">
        <f>IF(OR($P81="High",$P81="Low"),"",IF($P81="Mix",SUMIF('High_Low Voltage Mix Summary'!$B$10:$B$17,$B794,'High_Low Voltage Mix Summary'!$H$10:$H$17),""))</f>
        <v/>
      </c>
      <c r="AB81" s="49">
        <f>SUMIF('Antelope Bailey Split BA'!$B$7:$B$29,B81,'Antelope Bailey Split BA'!$C$7:$C$29)</f>
        <v>0</v>
      </c>
      <c r="AC81" s="49" t="str">
        <f>IF(AND(AB81=1,'Plant Total by Account'!$H$1=2),"EKWRA","")</f>
        <v/>
      </c>
    </row>
    <row r="82" spans="1:29" x14ac:dyDescent="0.2">
      <c r="A82" s="39" t="s">
        <v>2645</v>
      </c>
      <c r="B82" s="45" t="s">
        <v>181</v>
      </c>
      <c r="C82" s="40" t="s">
        <v>3334</v>
      </c>
      <c r="D82" s="53">
        <v>0</v>
      </c>
      <c r="E82" s="53">
        <v>13227.37</v>
      </c>
      <c r="F82" s="53">
        <v>415697.08</v>
      </c>
      <c r="G82" s="578">
        <f t="shared" si="19"/>
        <v>428924.45</v>
      </c>
      <c r="H82" s="41"/>
      <c r="I82" s="41"/>
      <c r="J82" s="41"/>
      <c r="K82" s="41">
        <f t="shared" si="21"/>
        <v>0</v>
      </c>
      <c r="L82" s="41">
        <f t="shared" si="22"/>
        <v>13227.37</v>
      </c>
      <c r="M82" s="41">
        <f t="shared" si="23"/>
        <v>415697.08</v>
      </c>
      <c r="N82" s="363">
        <f t="shared" si="20"/>
        <v>0</v>
      </c>
      <c r="O82" s="43" t="s">
        <v>3309</v>
      </c>
      <c r="P82" s="43"/>
      <c r="R82" s="41">
        <f t="shared" si="16"/>
        <v>0</v>
      </c>
      <c r="S82" s="41">
        <f t="shared" si="17"/>
        <v>0</v>
      </c>
      <c r="T82" s="41">
        <f t="shared" si="18"/>
        <v>0</v>
      </c>
      <c r="U82" s="41"/>
      <c r="V82" s="44" t="str">
        <f>IF($P82="High",$S82,IF($P82="Mix",SUMIF('High_Low Voltage Mix Summary'!$B$10:$B$17,$B34,'High_Low Voltage Mix Summary'!$D$10:$D$17),""))</f>
        <v/>
      </c>
      <c r="W82" s="44" t="str">
        <f>IF($P82="Low",$S82,IF($P82="Mix",SUMIF('High_Low Voltage Mix Summary'!$B$10:$B$17,$B34,'High_Low Voltage Mix Summary'!$E$10:$E$17),""))</f>
        <v/>
      </c>
      <c r="X82" s="44" t="str">
        <f>IF($P82="High",$T82,IF($P82="Mix",SUMIF('High_Low Voltage Mix Summary'!$B$10:$B$17,$B34,'High_Low Voltage Mix Summary'!$F$10:$F$17),""))</f>
        <v/>
      </c>
      <c r="Y82" s="44" t="str">
        <f>IF($P82="Low",$T82,IF($P82="Mix",SUMIF('High_Low Voltage Mix Summary'!$B$10:$B$17,$B34,'High_Low Voltage Mix Summary'!$G$10:$G$17),""))</f>
        <v/>
      </c>
      <c r="Z82" s="44" t="str">
        <f>IF(OR($P82="High",$P82="Low"),"",IF($P82="Mix",SUMIF('High_Low Voltage Mix Summary'!$B$10:$B$17,$B34,'High_Low Voltage Mix Summary'!$H$10:$H$17),""))</f>
        <v/>
      </c>
      <c r="AB82" s="49">
        <f>SUMIF('Antelope Bailey Split BA'!$B$7:$B$29,B82,'Antelope Bailey Split BA'!$C$7:$C$29)</f>
        <v>0</v>
      </c>
      <c r="AC82" s="49" t="str">
        <f>IF(AND(AB82=1,'Plant Total by Account'!$H$1=2),"EKWRA","")</f>
        <v/>
      </c>
    </row>
    <row r="83" spans="1:29" collapsed="1" x14ac:dyDescent="0.2">
      <c r="A83" s="39" t="s">
        <v>2646</v>
      </c>
      <c r="B83" s="40" t="s">
        <v>182</v>
      </c>
      <c r="C83" s="40" t="s">
        <v>3333</v>
      </c>
      <c r="D83" s="53">
        <v>11584.400000000001</v>
      </c>
      <c r="E83" s="53">
        <v>71843.7</v>
      </c>
      <c r="F83" s="53">
        <v>1637090.3600000003</v>
      </c>
      <c r="G83" s="578">
        <f t="shared" si="19"/>
        <v>1720518.4600000004</v>
      </c>
      <c r="H83" s="41"/>
      <c r="I83" s="41"/>
      <c r="J83" s="41"/>
      <c r="K83" s="41">
        <f t="shared" si="21"/>
        <v>11584.400000000001</v>
      </c>
      <c r="L83" s="41">
        <f t="shared" si="22"/>
        <v>71843.7</v>
      </c>
      <c r="M83" s="41">
        <f t="shared" si="23"/>
        <v>1637090.3600000003</v>
      </c>
      <c r="N83" s="363">
        <f t="shared" si="20"/>
        <v>0</v>
      </c>
      <c r="O83" s="43" t="s">
        <v>3309</v>
      </c>
      <c r="P83" s="43"/>
      <c r="R83" s="41">
        <f t="shared" si="16"/>
        <v>0</v>
      </c>
      <c r="S83" s="41">
        <f t="shared" si="17"/>
        <v>0</v>
      </c>
      <c r="T83" s="41">
        <f t="shared" si="18"/>
        <v>0</v>
      </c>
      <c r="U83" s="41"/>
      <c r="V83" s="44" t="str">
        <f>IF($P83="High",$S83,IF($P83="Mix",SUMIF('High_Low Voltage Mix Summary'!$B$10:$B$17,$B612,'High_Low Voltage Mix Summary'!$D$10:$D$17),""))</f>
        <v/>
      </c>
      <c r="W83" s="44" t="str">
        <f>IF($P83="Low",$S83,IF($P83="Mix",SUMIF('High_Low Voltage Mix Summary'!$B$10:$B$17,$B612,'High_Low Voltage Mix Summary'!$E$10:$E$17),""))</f>
        <v/>
      </c>
      <c r="X83" s="44" t="str">
        <f>IF($P83="High",$T83,IF($P83="Mix",SUMIF('High_Low Voltage Mix Summary'!$B$10:$B$17,$B612,'High_Low Voltage Mix Summary'!$F$10:$F$17),""))</f>
        <v/>
      </c>
      <c r="Y83" s="44" t="str">
        <f>IF($P83="Low",$T83,IF($P83="Mix",SUMIF('High_Low Voltage Mix Summary'!$B$10:$B$17,$B612,'High_Low Voltage Mix Summary'!$G$10:$G$17),""))</f>
        <v/>
      </c>
      <c r="Z83" s="44" t="str">
        <f>IF(OR($P83="High",$P83="Low"),"",IF($P83="Mix",SUMIF('High_Low Voltage Mix Summary'!$B$10:$B$17,$B612,'High_Low Voltage Mix Summary'!$H$10:$H$17),""))</f>
        <v/>
      </c>
      <c r="AB83" s="49">
        <f>SUMIF('Antelope Bailey Split BA'!$B$7:$B$29,B83,'Antelope Bailey Split BA'!$C$7:$C$29)</f>
        <v>0</v>
      </c>
      <c r="AC83" s="49" t="str">
        <f>IF(AND(AB83=1,'Plant Total by Account'!$H$1=2),"EKWRA","")</f>
        <v/>
      </c>
    </row>
    <row r="84" spans="1:29" x14ac:dyDescent="0.2">
      <c r="A84" s="39" t="s">
        <v>2647</v>
      </c>
      <c r="B84" s="45" t="s">
        <v>183</v>
      </c>
      <c r="C84" s="40" t="s">
        <v>3334</v>
      </c>
      <c r="D84" s="53">
        <v>4391.43</v>
      </c>
      <c r="E84" s="53">
        <v>705921.09999999963</v>
      </c>
      <c r="F84" s="53">
        <v>6357150.5599999977</v>
      </c>
      <c r="G84" s="578">
        <f t="shared" si="19"/>
        <v>7067463.0899999971</v>
      </c>
      <c r="H84" s="41"/>
      <c r="I84" s="41"/>
      <c r="J84" s="41"/>
      <c r="K84" s="41">
        <f t="shared" si="21"/>
        <v>4391.43</v>
      </c>
      <c r="L84" s="41">
        <f t="shared" si="22"/>
        <v>705921.09999999963</v>
      </c>
      <c r="M84" s="41">
        <f t="shared" si="23"/>
        <v>6357150.5599999977</v>
      </c>
      <c r="N84" s="363">
        <f t="shared" si="20"/>
        <v>0</v>
      </c>
      <c r="O84" s="43" t="s">
        <v>3309</v>
      </c>
      <c r="P84" s="43"/>
      <c r="R84" s="41">
        <f t="shared" si="16"/>
        <v>0</v>
      </c>
      <c r="S84" s="41">
        <f t="shared" si="17"/>
        <v>0</v>
      </c>
      <c r="T84" s="41">
        <f t="shared" si="18"/>
        <v>0</v>
      </c>
      <c r="U84" s="41"/>
      <c r="V84" s="44" t="str">
        <f>IF($P84="High",$S84,IF($P84="Mix",SUMIF('High_Low Voltage Mix Summary'!$B$10:$B$17,$B558,'High_Low Voltage Mix Summary'!$D$10:$D$17),""))</f>
        <v/>
      </c>
      <c r="W84" s="44" t="str">
        <f>IF($P84="Low",$S84,IF($P84="Mix",SUMIF('High_Low Voltage Mix Summary'!$B$10:$B$17,$B558,'High_Low Voltage Mix Summary'!$E$10:$E$17),""))</f>
        <v/>
      </c>
      <c r="X84" s="44" t="str">
        <f>IF($P84="High",$T84,IF($P84="Mix",SUMIF('High_Low Voltage Mix Summary'!$B$10:$B$17,$B558,'High_Low Voltage Mix Summary'!$F$10:$F$17),""))</f>
        <v/>
      </c>
      <c r="Y84" s="44" t="str">
        <f>IF($P84="Low",$T84,IF($P84="Mix",SUMIF('High_Low Voltage Mix Summary'!$B$10:$B$17,$B558,'High_Low Voltage Mix Summary'!$G$10:$G$17),""))</f>
        <v/>
      </c>
      <c r="Z84" s="44" t="str">
        <f>IF(OR($P84="High",$P84="Low"),"",IF($P84="Mix",SUMIF('High_Low Voltage Mix Summary'!$B$10:$B$17,$B558,'High_Low Voltage Mix Summary'!$H$10:$H$17),""))</f>
        <v/>
      </c>
      <c r="AB84" s="49">
        <f>SUMIF('Antelope Bailey Split BA'!$B$7:$B$29,B84,'Antelope Bailey Split BA'!$C$7:$C$29)</f>
        <v>0</v>
      </c>
      <c r="AC84" s="49" t="str">
        <f>IF(AND(AB84=1,'Plant Total by Account'!$H$1=2),"EKWRA","")</f>
        <v/>
      </c>
    </row>
    <row r="85" spans="1:29" x14ac:dyDescent="0.2">
      <c r="A85" s="39" t="s">
        <v>2648</v>
      </c>
      <c r="B85" s="40" t="s">
        <v>184</v>
      </c>
      <c r="C85" s="40" t="s">
        <v>3334</v>
      </c>
      <c r="D85" s="53">
        <v>137667.15</v>
      </c>
      <c r="E85" s="53">
        <v>128821.23</v>
      </c>
      <c r="F85" s="53">
        <v>3775967.4099999992</v>
      </c>
      <c r="G85" s="578">
        <f t="shared" si="19"/>
        <v>4042455.7899999991</v>
      </c>
      <c r="H85" s="41"/>
      <c r="I85" s="41"/>
      <c r="J85" s="41"/>
      <c r="K85" s="41">
        <f t="shared" si="21"/>
        <v>137667.15</v>
      </c>
      <c r="L85" s="41">
        <f t="shared" si="22"/>
        <v>128821.23</v>
      </c>
      <c r="M85" s="41">
        <f t="shared" si="23"/>
        <v>3775967.4099999992</v>
      </c>
      <c r="N85" s="363">
        <f t="shared" si="20"/>
        <v>0</v>
      </c>
      <c r="O85" s="43" t="s">
        <v>3309</v>
      </c>
      <c r="P85" s="43"/>
      <c r="R85" s="41">
        <f t="shared" si="16"/>
        <v>0</v>
      </c>
      <c r="S85" s="41">
        <f t="shared" si="17"/>
        <v>0</v>
      </c>
      <c r="T85" s="41">
        <f t="shared" si="18"/>
        <v>0</v>
      </c>
      <c r="U85" s="41"/>
      <c r="V85" s="44" t="str">
        <f>IF($P85="High",$S85,IF($P85="Mix",SUMIF('High_Low Voltage Mix Summary'!$B$10:$B$17,$B613,'High_Low Voltage Mix Summary'!$D$10:$D$17),""))</f>
        <v/>
      </c>
      <c r="W85" s="44" t="str">
        <f>IF($P85="Low",$S85,IF($P85="Mix",SUMIF('High_Low Voltage Mix Summary'!$B$10:$B$17,$B613,'High_Low Voltage Mix Summary'!$E$10:$E$17),""))</f>
        <v/>
      </c>
      <c r="X85" s="44" t="str">
        <f>IF($P85="High",$T85,IF($P85="Mix",SUMIF('High_Low Voltage Mix Summary'!$B$10:$B$17,$B613,'High_Low Voltage Mix Summary'!$F$10:$F$17),""))</f>
        <v/>
      </c>
      <c r="Y85" s="44" t="str">
        <f>IF($P85="Low",$T85,IF($P85="Mix",SUMIF('High_Low Voltage Mix Summary'!$B$10:$B$17,$B613,'High_Low Voltage Mix Summary'!$G$10:$G$17),""))</f>
        <v/>
      </c>
      <c r="Z85" s="44" t="str">
        <f>IF(OR($P85="High",$P85="Low"),"",IF($P85="Mix",SUMIF('High_Low Voltage Mix Summary'!$B$10:$B$17,$B613,'High_Low Voltage Mix Summary'!$H$10:$H$17),""))</f>
        <v/>
      </c>
      <c r="AB85" s="49">
        <f>SUMIF('Antelope Bailey Split BA'!$B$7:$B$29,B85,'Antelope Bailey Split BA'!$C$7:$C$29)</f>
        <v>0</v>
      </c>
      <c r="AC85" s="49" t="str">
        <f>IF(AND(AB85=1,'Plant Total by Account'!$H$1=2),"EKWRA","")</f>
        <v/>
      </c>
    </row>
    <row r="86" spans="1:29" x14ac:dyDescent="0.2">
      <c r="A86" s="39" t="s">
        <v>2398</v>
      </c>
      <c r="B86" s="40" t="s">
        <v>185</v>
      </c>
      <c r="C86" s="40" t="s">
        <v>3334</v>
      </c>
      <c r="D86" s="53">
        <v>11615.19</v>
      </c>
      <c r="E86" s="53">
        <v>176845.04</v>
      </c>
      <c r="F86" s="53">
        <v>2798670.1500000013</v>
      </c>
      <c r="G86" s="578">
        <f t="shared" si="19"/>
        <v>2987130.3800000013</v>
      </c>
      <c r="H86" s="41"/>
      <c r="I86" s="41"/>
      <c r="J86" s="41"/>
      <c r="K86" s="41">
        <f t="shared" si="21"/>
        <v>11615.19</v>
      </c>
      <c r="L86" s="41">
        <f t="shared" si="22"/>
        <v>176845.04</v>
      </c>
      <c r="M86" s="41">
        <f t="shared" si="23"/>
        <v>2798670.1500000013</v>
      </c>
      <c r="N86" s="363">
        <f t="shared" si="20"/>
        <v>0</v>
      </c>
      <c r="O86" s="43" t="s">
        <v>3309</v>
      </c>
      <c r="P86" s="43"/>
      <c r="R86" s="41">
        <f t="shared" si="16"/>
        <v>0</v>
      </c>
      <c r="S86" s="41">
        <f t="shared" si="17"/>
        <v>0</v>
      </c>
      <c r="T86" s="41">
        <f t="shared" si="18"/>
        <v>0</v>
      </c>
      <c r="U86" s="41"/>
      <c r="V86" s="44" t="str">
        <f>IF($P86="High",$S86,IF($P86="Mix",SUMIF('High_Low Voltage Mix Summary'!$B$10:$B$17,$B36,'High_Low Voltage Mix Summary'!$D$10:$D$17),""))</f>
        <v/>
      </c>
      <c r="W86" s="44" t="str">
        <f>IF($P86="Low",$S86,IF($P86="Mix",SUMIF('High_Low Voltage Mix Summary'!$B$10:$B$17,$B36,'High_Low Voltage Mix Summary'!$E$10:$E$17),""))</f>
        <v/>
      </c>
      <c r="X86" s="44" t="str">
        <f>IF($P86="High",$T86,IF($P86="Mix",SUMIF('High_Low Voltage Mix Summary'!$B$10:$B$17,$B36,'High_Low Voltage Mix Summary'!$F$10:$F$17),""))</f>
        <v/>
      </c>
      <c r="Y86" s="44" t="str">
        <f>IF($P86="Low",$T86,IF($P86="Mix",SUMIF('High_Low Voltage Mix Summary'!$B$10:$B$17,$B36,'High_Low Voltage Mix Summary'!$G$10:$G$17),""))</f>
        <v/>
      </c>
      <c r="Z86" s="44" t="str">
        <f>IF(OR($P86="High",$P86="Low"),"",IF($P86="Mix",SUMIF('High_Low Voltage Mix Summary'!$B$10:$B$17,$B36,'High_Low Voltage Mix Summary'!$H$10:$H$17),""))</f>
        <v/>
      </c>
      <c r="AB86" s="49">
        <f>SUMIF('Antelope Bailey Split BA'!$B$7:$B$29,B86,'Antelope Bailey Split BA'!$C$7:$C$29)</f>
        <v>0</v>
      </c>
      <c r="AC86" s="49" t="str">
        <f>IF(AND(AB86=1,'Plant Total by Account'!$H$1=2),"EKWRA","")</f>
        <v/>
      </c>
    </row>
    <row r="87" spans="1:29" x14ac:dyDescent="0.2">
      <c r="A87" s="39" t="s">
        <v>2649</v>
      </c>
      <c r="B87" s="40" t="s">
        <v>186</v>
      </c>
      <c r="C87" s="40" t="s">
        <v>3334</v>
      </c>
      <c r="D87" s="53">
        <v>125485.63</v>
      </c>
      <c r="E87" s="53">
        <v>361924.69000000006</v>
      </c>
      <c r="F87" s="53">
        <v>2432224.8100000005</v>
      </c>
      <c r="G87" s="578">
        <f t="shared" si="19"/>
        <v>2919635.1300000008</v>
      </c>
      <c r="H87" s="41"/>
      <c r="I87" s="41"/>
      <c r="J87" s="41"/>
      <c r="K87" s="41">
        <f t="shared" si="21"/>
        <v>125485.63</v>
      </c>
      <c r="L87" s="41">
        <f t="shared" si="22"/>
        <v>361924.69000000006</v>
      </c>
      <c r="M87" s="41">
        <f t="shared" si="23"/>
        <v>2432224.8100000005</v>
      </c>
      <c r="N87" s="363">
        <f t="shared" si="20"/>
        <v>0</v>
      </c>
      <c r="O87" s="43" t="s">
        <v>3309</v>
      </c>
      <c r="P87" s="43"/>
      <c r="R87" s="41">
        <f t="shared" si="16"/>
        <v>0</v>
      </c>
      <c r="S87" s="41">
        <f t="shared" si="17"/>
        <v>0</v>
      </c>
      <c r="T87" s="41">
        <f t="shared" si="18"/>
        <v>0</v>
      </c>
      <c r="U87" s="41"/>
      <c r="V87" s="44" t="str">
        <f>IF($P87="High",$S87,IF($P87="Mix",SUMIF('High_Low Voltage Mix Summary'!$B$10:$B$17,$B40,'High_Low Voltage Mix Summary'!$D$10:$D$17),""))</f>
        <v/>
      </c>
      <c r="W87" s="44" t="str">
        <f>IF($P87="Low",$S87,IF($P87="Mix",SUMIF('High_Low Voltage Mix Summary'!$B$10:$B$17,$B40,'High_Low Voltage Mix Summary'!$E$10:$E$17),""))</f>
        <v/>
      </c>
      <c r="X87" s="44" t="str">
        <f>IF($P87="High",$T87,IF($P87="Mix",SUMIF('High_Low Voltage Mix Summary'!$B$10:$B$17,$B40,'High_Low Voltage Mix Summary'!$F$10:$F$17),""))</f>
        <v/>
      </c>
      <c r="Y87" s="44" t="str">
        <f>IF($P87="Low",$T87,IF($P87="Mix",SUMIF('High_Low Voltage Mix Summary'!$B$10:$B$17,$B40,'High_Low Voltage Mix Summary'!$G$10:$G$17),""))</f>
        <v/>
      </c>
      <c r="Z87" s="44" t="str">
        <f>IF(OR($P87="High",$P87="Low"),"",IF($P87="Mix",SUMIF('High_Low Voltage Mix Summary'!$B$10:$B$17,$B40,'High_Low Voltage Mix Summary'!$H$10:$H$17),""))</f>
        <v/>
      </c>
      <c r="AB87" s="49">
        <f>SUMIF('Antelope Bailey Split BA'!$B$7:$B$29,B87,'Antelope Bailey Split BA'!$C$7:$C$29)</f>
        <v>0</v>
      </c>
      <c r="AC87" s="49" t="str">
        <f>IF(AND(AB87=1,'Plant Total by Account'!$H$1=2),"EKWRA","")</f>
        <v/>
      </c>
    </row>
    <row r="88" spans="1:29" x14ac:dyDescent="0.2">
      <c r="A88" s="39" t="s">
        <v>2399</v>
      </c>
      <c r="B88" s="40" t="s">
        <v>187</v>
      </c>
      <c r="C88" s="40" t="s">
        <v>3333</v>
      </c>
      <c r="D88" s="53">
        <v>3031.9100000000003</v>
      </c>
      <c r="E88" s="53">
        <v>64327.529999999992</v>
      </c>
      <c r="F88" s="53">
        <v>1183584.3799999994</v>
      </c>
      <c r="G88" s="578">
        <f t="shared" si="19"/>
        <v>1250943.8199999994</v>
      </c>
      <c r="H88" s="41"/>
      <c r="I88" s="41"/>
      <c r="J88" s="41"/>
      <c r="K88" s="41">
        <f t="shared" si="21"/>
        <v>3031.9100000000003</v>
      </c>
      <c r="L88" s="41">
        <f t="shared" si="22"/>
        <v>64327.529999999992</v>
      </c>
      <c r="M88" s="41">
        <f t="shared" si="23"/>
        <v>1183584.3799999994</v>
      </c>
      <c r="N88" s="363">
        <f t="shared" si="20"/>
        <v>0</v>
      </c>
      <c r="O88" s="43" t="s">
        <v>3309</v>
      </c>
      <c r="P88" s="43"/>
      <c r="R88" s="41">
        <f t="shared" si="16"/>
        <v>0</v>
      </c>
      <c r="S88" s="41">
        <f t="shared" si="17"/>
        <v>0</v>
      </c>
      <c r="T88" s="41">
        <f t="shared" si="18"/>
        <v>0</v>
      </c>
      <c r="U88" s="41"/>
      <c r="V88" s="44" t="str">
        <f>IF($P88="High",$S88,IF($P88="Mix",SUMIF('High_Low Voltage Mix Summary'!$B$10:$B$17,$B48,'High_Low Voltage Mix Summary'!$D$10:$D$17),""))</f>
        <v/>
      </c>
      <c r="W88" s="44" t="str">
        <f>IF($P88="Low",$S88,IF($P88="Mix",SUMIF('High_Low Voltage Mix Summary'!$B$10:$B$17,$B48,'High_Low Voltage Mix Summary'!$E$10:$E$17),""))</f>
        <v/>
      </c>
      <c r="X88" s="44" t="str">
        <f>IF($P88="High",$T88,IF($P88="Mix",SUMIF('High_Low Voltage Mix Summary'!$B$10:$B$17,$B48,'High_Low Voltage Mix Summary'!$F$10:$F$17),""))</f>
        <v/>
      </c>
      <c r="Y88" s="44" t="str">
        <f>IF($P88="Low",$T88,IF($P88="Mix",SUMIF('High_Low Voltage Mix Summary'!$B$10:$B$17,$B48,'High_Low Voltage Mix Summary'!$G$10:$G$17),""))</f>
        <v/>
      </c>
      <c r="Z88" s="44" t="str">
        <f>IF(OR($P88="High",$P88="Low"),"",IF($P88="Mix",SUMIF('High_Low Voltage Mix Summary'!$B$10:$B$17,$B48,'High_Low Voltage Mix Summary'!$H$10:$H$17),""))</f>
        <v/>
      </c>
      <c r="AB88" s="49">
        <f>SUMIF('Antelope Bailey Split BA'!$B$7:$B$29,B88,'Antelope Bailey Split BA'!$C$7:$C$29)</f>
        <v>0</v>
      </c>
      <c r="AC88" s="49" t="str">
        <f>IF(AND(AB88=1,'Plant Total by Account'!$H$1=2),"EKWRA","")</f>
        <v/>
      </c>
    </row>
    <row r="89" spans="1:29" x14ac:dyDescent="0.2">
      <c r="A89" s="39" t="s">
        <v>2400</v>
      </c>
      <c r="B89" s="40" t="s">
        <v>188</v>
      </c>
      <c r="C89" s="40" t="s">
        <v>3334</v>
      </c>
      <c r="D89" s="53">
        <v>74632.87</v>
      </c>
      <c r="E89" s="53">
        <v>132774.71000000002</v>
      </c>
      <c r="F89" s="53">
        <v>1040484.9199999992</v>
      </c>
      <c r="G89" s="578">
        <f t="shared" si="19"/>
        <v>1247892.4999999993</v>
      </c>
      <c r="H89" s="41"/>
      <c r="I89" s="41"/>
      <c r="J89" s="41"/>
      <c r="K89" s="41">
        <f t="shared" si="21"/>
        <v>74632.87</v>
      </c>
      <c r="L89" s="41">
        <f t="shared" si="22"/>
        <v>132774.71000000002</v>
      </c>
      <c r="M89" s="41">
        <f t="shared" si="23"/>
        <v>1040484.9199999992</v>
      </c>
      <c r="N89" s="363">
        <f t="shared" si="20"/>
        <v>0</v>
      </c>
      <c r="O89" s="43" t="s">
        <v>3309</v>
      </c>
      <c r="P89" s="43"/>
      <c r="R89" s="41">
        <f t="shared" si="16"/>
        <v>0</v>
      </c>
      <c r="S89" s="41">
        <f t="shared" si="17"/>
        <v>0</v>
      </c>
      <c r="T89" s="41">
        <f t="shared" si="18"/>
        <v>0</v>
      </c>
      <c r="U89" s="41"/>
      <c r="V89" s="44" t="str">
        <f>IF($P89="High",$S89,IF($P89="Mix",SUMIF('High_Low Voltage Mix Summary'!$B$10:$B$17,$B49,'High_Low Voltage Mix Summary'!$D$10:$D$17),""))</f>
        <v/>
      </c>
      <c r="W89" s="44" t="str">
        <f>IF($P89="Low",$S89,IF($P89="Mix",SUMIF('High_Low Voltage Mix Summary'!$B$10:$B$17,$B49,'High_Low Voltage Mix Summary'!$E$10:$E$17),""))</f>
        <v/>
      </c>
      <c r="X89" s="44" t="str">
        <f>IF($P89="High",$T89,IF($P89="Mix",SUMIF('High_Low Voltage Mix Summary'!$B$10:$B$17,$B49,'High_Low Voltage Mix Summary'!$F$10:$F$17),""))</f>
        <v/>
      </c>
      <c r="Y89" s="44" t="str">
        <f>IF($P89="Low",$T89,IF($P89="Mix",SUMIF('High_Low Voltage Mix Summary'!$B$10:$B$17,$B49,'High_Low Voltage Mix Summary'!$G$10:$G$17),""))</f>
        <v/>
      </c>
      <c r="Z89" s="44" t="str">
        <f>IF(OR($P89="High",$P89="Low"),"",IF($P89="Mix",SUMIF('High_Low Voltage Mix Summary'!$B$10:$B$17,$B49,'High_Low Voltage Mix Summary'!$H$10:$H$17),""))</f>
        <v/>
      </c>
      <c r="AB89" s="49">
        <f>SUMIF('Antelope Bailey Split BA'!$B$7:$B$29,B89,'Antelope Bailey Split BA'!$C$7:$C$29)</f>
        <v>0</v>
      </c>
      <c r="AC89" s="49" t="str">
        <f>IF(AND(AB89=1,'Plant Total by Account'!$H$1=2),"EKWRA","")</f>
        <v/>
      </c>
    </row>
    <row r="90" spans="1:29" x14ac:dyDescent="0.2">
      <c r="A90" s="39" t="s">
        <v>2650</v>
      </c>
      <c r="B90" s="40" t="s">
        <v>189</v>
      </c>
      <c r="C90" s="40" t="s">
        <v>3334</v>
      </c>
      <c r="D90" s="53">
        <v>1653.96</v>
      </c>
      <c r="E90" s="53">
        <v>33215.130000000005</v>
      </c>
      <c r="F90" s="53">
        <v>64850.840000000004</v>
      </c>
      <c r="G90" s="578">
        <f t="shared" si="19"/>
        <v>99719.930000000008</v>
      </c>
      <c r="H90" s="41"/>
      <c r="I90" s="41"/>
      <c r="J90" s="41"/>
      <c r="K90" s="41">
        <f t="shared" si="21"/>
        <v>1653.96</v>
      </c>
      <c r="L90" s="41">
        <f t="shared" si="22"/>
        <v>33215.130000000005</v>
      </c>
      <c r="M90" s="41">
        <f t="shared" si="23"/>
        <v>64850.840000000004</v>
      </c>
      <c r="N90" s="363">
        <f t="shared" si="20"/>
        <v>0</v>
      </c>
      <c r="O90" s="43" t="s">
        <v>3309</v>
      </c>
      <c r="P90" s="43"/>
      <c r="R90" s="41">
        <f t="shared" si="16"/>
        <v>0</v>
      </c>
      <c r="S90" s="41">
        <f t="shared" si="17"/>
        <v>0</v>
      </c>
      <c r="T90" s="41">
        <f t="shared" si="18"/>
        <v>0</v>
      </c>
      <c r="U90" s="41"/>
      <c r="V90" s="44" t="str">
        <f>IF($P90="High",$S90,IF($P90="Mix",SUMIF('High_Low Voltage Mix Summary'!$B$10:$B$17,$B614,'High_Low Voltage Mix Summary'!$D$10:$D$17),""))</f>
        <v/>
      </c>
      <c r="W90" s="44" t="str">
        <f>IF($P90="Low",$S90,IF($P90="Mix",SUMIF('High_Low Voltage Mix Summary'!$B$10:$B$17,$B614,'High_Low Voltage Mix Summary'!$E$10:$E$17),""))</f>
        <v/>
      </c>
      <c r="X90" s="44" t="str">
        <f>IF($P90="High",$T90,IF($P90="Mix",SUMIF('High_Low Voltage Mix Summary'!$B$10:$B$17,$B614,'High_Low Voltage Mix Summary'!$F$10:$F$17),""))</f>
        <v/>
      </c>
      <c r="Y90" s="44" t="str">
        <f>IF($P90="Low",$T90,IF($P90="Mix",SUMIF('High_Low Voltage Mix Summary'!$B$10:$B$17,$B614,'High_Low Voltage Mix Summary'!$G$10:$G$17),""))</f>
        <v/>
      </c>
      <c r="Z90" s="44" t="str">
        <f>IF(OR($P90="High",$P90="Low"),"",IF($P90="Mix",SUMIF('High_Low Voltage Mix Summary'!$B$10:$B$17,$B614,'High_Low Voltage Mix Summary'!$H$10:$H$17),""))</f>
        <v/>
      </c>
      <c r="AB90" s="49">
        <f>SUMIF('Antelope Bailey Split BA'!$B$7:$B$29,B90,'Antelope Bailey Split BA'!$C$7:$C$29)</f>
        <v>0</v>
      </c>
      <c r="AC90" s="49" t="str">
        <f>IF(AND(AB90=1,'Plant Total by Account'!$H$1=2),"EKWRA","")</f>
        <v/>
      </c>
    </row>
    <row r="91" spans="1:29" x14ac:dyDescent="0.2">
      <c r="A91" s="39" t="s">
        <v>2651</v>
      </c>
      <c r="B91" s="40" t="s">
        <v>190</v>
      </c>
      <c r="C91" s="40" t="s">
        <v>3334</v>
      </c>
      <c r="D91" s="53">
        <v>0</v>
      </c>
      <c r="E91" s="53">
        <v>11561.789999999999</v>
      </c>
      <c r="F91" s="53">
        <v>258931.32999999996</v>
      </c>
      <c r="G91" s="578">
        <f t="shared" si="19"/>
        <v>270493.11999999994</v>
      </c>
      <c r="H91" s="41"/>
      <c r="I91" s="41"/>
      <c r="J91" s="41"/>
      <c r="K91" s="41">
        <f t="shared" si="21"/>
        <v>0</v>
      </c>
      <c r="L91" s="41">
        <f t="shared" si="22"/>
        <v>11561.789999999999</v>
      </c>
      <c r="M91" s="41">
        <f t="shared" si="23"/>
        <v>258931.32999999996</v>
      </c>
      <c r="N91" s="363">
        <f t="shared" si="20"/>
        <v>0</v>
      </c>
      <c r="O91" s="43" t="s">
        <v>3309</v>
      </c>
      <c r="P91" s="43"/>
      <c r="R91" s="41">
        <f t="shared" si="16"/>
        <v>0</v>
      </c>
      <c r="S91" s="41">
        <f t="shared" si="17"/>
        <v>0</v>
      </c>
      <c r="T91" s="41">
        <f t="shared" si="18"/>
        <v>0</v>
      </c>
      <c r="U91" s="41"/>
      <c r="V91" s="44" t="str">
        <f>IF($P91="High",$S91,IF($P91="Mix",SUMIF('High_Low Voltage Mix Summary'!$B$10:$B$17,$B50,'High_Low Voltage Mix Summary'!$D$10:$D$17),""))</f>
        <v/>
      </c>
      <c r="W91" s="44" t="str">
        <f>IF($P91="Low",$S91,IF($P91="Mix",SUMIF('High_Low Voltage Mix Summary'!$B$10:$B$17,$B50,'High_Low Voltage Mix Summary'!$E$10:$E$17),""))</f>
        <v/>
      </c>
      <c r="X91" s="44" t="str">
        <f>IF($P91="High",$T91,IF($P91="Mix",SUMIF('High_Low Voltage Mix Summary'!$B$10:$B$17,$B50,'High_Low Voltage Mix Summary'!$F$10:$F$17),""))</f>
        <v/>
      </c>
      <c r="Y91" s="44" t="str">
        <f>IF($P91="Low",$T91,IF($P91="Mix",SUMIF('High_Low Voltage Mix Summary'!$B$10:$B$17,$B50,'High_Low Voltage Mix Summary'!$G$10:$G$17),""))</f>
        <v/>
      </c>
      <c r="Z91" s="44" t="str">
        <f>IF(OR($P91="High",$P91="Low"),"",IF($P91="Mix",SUMIF('High_Low Voltage Mix Summary'!$B$10:$B$17,$B50,'High_Low Voltage Mix Summary'!$H$10:$H$17),""))</f>
        <v/>
      </c>
      <c r="AB91" s="49">
        <f>SUMIF('Antelope Bailey Split BA'!$B$7:$B$29,B91,'Antelope Bailey Split BA'!$C$7:$C$29)</f>
        <v>0</v>
      </c>
      <c r="AC91" s="49" t="str">
        <f>IF(AND(AB91=1,'Plant Total by Account'!$H$1=2),"EKWRA","")</f>
        <v/>
      </c>
    </row>
    <row r="92" spans="1:29" x14ac:dyDescent="0.2">
      <c r="A92" s="39" t="s">
        <v>2652</v>
      </c>
      <c r="B92" s="40" t="s">
        <v>191</v>
      </c>
      <c r="C92" s="40" t="s">
        <v>3333</v>
      </c>
      <c r="D92" s="53">
        <v>3369.59</v>
      </c>
      <c r="E92" s="53">
        <v>326842.56000000006</v>
      </c>
      <c r="F92" s="53">
        <v>1374255.0200000003</v>
      </c>
      <c r="G92" s="578">
        <f t="shared" si="19"/>
        <v>1704467.1700000004</v>
      </c>
      <c r="H92" s="41"/>
      <c r="I92" s="41"/>
      <c r="J92" s="41"/>
      <c r="K92" s="41">
        <f t="shared" si="21"/>
        <v>3369.59</v>
      </c>
      <c r="L92" s="41">
        <f t="shared" si="22"/>
        <v>326842.56000000006</v>
      </c>
      <c r="M92" s="41">
        <f t="shared" si="23"/>
        <v>1374255.0200000003</v>
      </c>
      <c r="N92" s="363">
        <f t="shared" si="20"/>
        <v>0</v>
      </c>
      <c r="O92" s="43" t="s">
        <v>3309</v>
      </c>
      <c r="P92" s="43"/>
      <c r="R92" s="41">
        <f t="shared" si="16"/>
        <v>0</v>
      </c>
      <c r="S92" s="41">
        <f t="shared" si="17"/>
        <v>0</v>
      </c>
      <c r="T92" s="41">
        <f t="shared" si="18"/>
        <v>0</v>
      </c>
      <c r="U92" s="41"/>
      <c r="V92" s="44" t="str">
        <f>IF($P92="High",$S92,IF($P92="Mix",SUMIF('High_Low Voltage Mix Summary'!$B$10:$B$17,$B51,'High_Low Voltage Mix Summary'!$D$10:$D$17),""))</f>
        <v/>
      </c>
      <c r="W92" s="44" t="str">
        <f>IF($P92="Low",$S92,IF($P92="Mix",SUMIF('High_Low Voltage Mix Summary'!$B$10:$B$17,$B51,'High_Low Voltage Mix Summary'!$E$10:$E$17),""))</f>
        <v/>
      </c>
      <c r="X92" s="44" t="str">
        <f>IF($P92="High",$T92,IF($P92="Mix",SUMIF('High_Low Voltage Mix Summary'!$B$10:$B$17,$B51,'High_Low Voltage Mix Summary'!$F$10:$F$17),""))</f>
        <v/>
      </c>
      <c r="Y92" s="44" t="str">
        <f>IF($P92="Low",$T92,IF($P92="Mix",SUMIF('High_Low Voltage Mix Summary'!$B$10:$B$17,$B51,'High_Low Voltage Mix Summary'!$G$10:$G$17),""))</f>
        <v/>
      </c>
      <c r="Z92" s="44" t="str">
        <f>IF(OR($P92="High",$P92="Low"),"",IF($P92="Mix",SUMIF('High_Low Voltage Mix Summary'!$B$10:$B$17,$B51,'High_Low Voltage Mix Summary'!$H$10:$H$17),""))</f>
        <v/>
      </c>
      <c r="AB92" s="49">
        <f>SUMIF('Antelope Bailey Split BA'!$B$7:$B$29,B92,'Antelope Bailey Split BA'!$C$7:$C$29)</f>
        <v>0</v>
      </c>
      <c r="AC92" s="49" t="str">
        <f>IF(AND(AB92=1,'Plant Total by Account'!$H$1=2),"EKWRA","")</f>
        <v/>
      </c>
    </row>
    <row r="93" spans="1:29" x14ac:dyDescent="0.2">
      <c r="A93" s="39" t="s">
        <v>2401</v>
      </c>
      <c r="B93" s="40" t="s">
        <v>192</v>
      </c>
      <c r="C93" s="40" t="s">
        <v>3334</v>
      </c>
      <c r="D93" s="53">
        <v>9300.68</v>
      </c>
      <c r="E93" s="53">
        <v>126749.70999999999</v>
      </c>
      <c r="F93" s="53">
        <v>2530640.6699999995</v>
      </c>
      <c r="G93" s="578">
        <f t="shared" si="19"/>
        <v>2666691.0599999996</v>
      </c>
      <c r="H93" s="41"/>
      <c r="I93" s="41"/>
      <c r="J93" s="41"/>
      <c r="K93" s="41">
        <f t="shared" si="21"/>
        <v>9300.68</v>
      </c>
      <c r="L93" s="41">
        <f t="shared" si="22"/>
        <v>126749.70999999999</v>
      </c>
      <c r="M93" s="41">
        <f t="shared" si="23"/>
        <v>2530640.6699999995</v>
      </c>
      <c r="N93" s="363">
        <f t="shared" si="20"/>
        <v>0</v>
      </c>
      <c r="O93" s="43" t="s">
        <v>3309</v>
      </c>
      <c r="P93" s="43"/>
      <c r="R93" s="41">
        <f t="shared" si="16"/>
        <v>0</v>
      </c>
      <c r="S93" s="41">
        <f t="shared" si="17"/>
        <v>0</v>
      </c>
      <c r="T93" s="41">
        <f t="shared" si="18"/>
        <v>0</v>
      </c>
      <c r="U93" s="41"/>
      <c r="V93" s="44" t="str">
        <f>IF($P93="High",$S93,IF($P93="Mix",SUMIF('High_Low Voltage Mix Summary'!$B$10:$B$17,$B54,'High_Low Voltage Mix Summary'!$D$10:$D$17),""))</f>
        <v/>
      </c>
      <c r="W93" s="44" t="str">
        <f>IF($P93="Low",$S93,IF($P93="Mix",SUMIF('High_Low Voltage Mix Summary'!$B$10:$B$17,$B54,'High_Low Voltage Mix Summary'!$E$10:$E$17),""))</f>
        <v/>
      </c>
      <c r="X93" s="44" t="str">
        <f>IF($P93="High",$T93,IF($P93="Mix",SUMIF('High_Low Voltage Mix Summary'!$B$10:$B$17,$B54,'High_Low Voltage Mix Summary'!$F$10:$F$17),""))</f>
        <v/>
      </c>
      <c r="Y93" s="44" t="str">
        <f>IF($P93="Low",$T93,IF($P93="Mix",SUMIF('High_Low Voltage Mix Summary'!$B$10:$B$17,$B54,'High_Low Voltage Mix Summary'!$G$10:$G$17),""))</f>
        <v/>
      </c>
      <c r="Z93" s="44" t="str">
        <f>IF(OR($P93="High",$P93="Low"),"",IF($P93="Mix",SUMIF('High_Low Voltage Mix Summary'!$B$10:$B$17,$B54,'High_Low Voltage Mix Summary'!$H$10:$H$17),""))</f>
        <v/>
      </c>
      <c r="AB93" s="49">
        <f>SUMIF('Antelope Bailey Split BA'!$B$7:$B$29,B93,'Antelope Bailey Split BA'!$C$7:$C$29)</f>
        <v>0</v>
      </c>
      <c r="AC93" s="49" t="str">
        <f>IF(AND(AB93=1,'Plant Total by Account'!$H$1=2),"EKWRA","")</f>
        <v/>
      </c>
    </row>
    <row r="94" spans="1:29" x14ac:dyDescent="0.2">
      <c r="A94" s="39" t="s">
        <v>2402</v>
      </c>
      <c r="B94" s="40" t="s">
        <v>193</v>
      </c>
      <c r="C94" s="40" t="s">
        <v>3334</v>
      </c>
      <c r="D94" s="53">
        <v>8707.4</v>
      </c>
      <c r="E94" s="53">
        <v>189844.08</v>
      </c>
      <c r="F94" s="53">
        <v>4113551.299999997</v>
      </c>
      <c r="G94" s="578">
        <f t="shared" si="19"/>
        <v>4312102.7799999975</v>
      </c>
      <c r="H94" s="41"/>
      <c r="I94" s="41"/>
      <c r="J94" s="41"/>
      <c r="K94" s="41">
        <f t="shared" si="21"/>
        <v>8707.4</v>
      </c>
      <c r="L94" s="41">
        <f t="shared" si="22"/>
        <v>189844.08</v>
      </c>
      <c r="M94" s="41">
        <f t="shared" si="23"/>
        <v>4113551.299999997</v>
      </c>
      <c r="N94" s="363">
        <f t="shared" si="20"/>
        <v>0</v>
      </c>
      <c r="O94" s="43" t="s">
        <v>3309</v>
      </c>
      <c r="P94" s="43"/>
      <c r="R94" s="41">
        <f t="shared" si="16"/>
        <v>0</v>
      </c>
      <c r="S94" s="41">
        <f t="shared" si="17"/>
        <v>0</v>
      </c>
      <c r="T94" s="41">
        <f t="shared" si="18"/>
        <v>0</v>
      </c>
      <c r="U94" s="41"/>
      <c r="V94" s="44" t="str">
        <f>IF($P94="High",$S94,IF($P94="Mix",SUMIF('High_Low Voltage Mix Summary'!$B$10:$B$17,$B615,'High_Low Voltage Mix Summary'!$D$10:$D$17),""))</f>
        <v/>
      </c>
      <c r="W94" s="44" t="str">
        <f>IF($P94="Low",$S94,IF($P94="Mix",SUMIF('High_Low Voltage Mix Summary'!$B$10:$B$17,$B615,'High_Low Voltage Mix Summary'!$E$10:$E$17),""))</f>
        <v/>
      </c>
      <c r="X94" s="44" t="str">
        <f>IF($P94="High",$T94,IF($P94="Mix",SUMIF('High_Low Voltage Mix Summary'!$B$10:$B$17,$B615,'High_Low Voltage Mix Summary'!$F$10:$F$17),""))</f>
        <v/>
      </c>
      <c r="Y94" s="44" t="str">
        <f>IF($P94="Low",$T94,IF($P94="Mix",SUMIF('High_Low Voltage Mix Summary'!$B$10:$B$17,$B615,'High_Low Voltage Mix Summary'!$G$10:$G$17),""))</f>
        <v/>
      </c>
      <c r="Z94" s="44" t="str">
        <f>IF(OR($P94="High",$P94="Low"),"",IF($P94="Mix",SUMIF('High_Low Voltage Mix Summary'!$B$10:$B$17,$B615,'High_Low Voltage Mix Summary'!$H$10:$H$17),""))</f>
        <v/>
      </c>
      <c r="AB94" s="49">
        <f>SUMIF('Antelope Bailey Split BA'!$B$7:$B$29,B94,'Antelope Bailey Split BA'!$C$7:$C$29)</f>
        <v>0</v>
      </c>
      <c r="AC94" s="49" t="str">
        <f>IF(AND(AB94=1,'Plant Total by Account'!$H$1=2),"EKWRA","")</f>
        <v/>
      </c>
    </row>
    <row r="95" spans="1:29" x14ac:dyDescent="0.2">
      <c r="A95" s="39" t="s">
        <v>2653</v>
      </c>
      <c r="B95" s="40" t="s">
        <v>194</v>
      </c>
      <c r="C95" s="40" t="s">
        <v>3334</v>
      </c>
      <c r="D95" s="53">
        <v>0</v>
      </c>
      <c r="E95" s="53">
        <v>24707.300000000003</v>
      </c>
      <c r="F95" s="53">
        <v>278854.56</v>
      </c>
      <c r="G95" s="578">
        <f t="shared" si="19"/>
        <v>303561.86</v>
      </c>
      <c r="H95" s="41"/>
      <c r="I95" s="41"/>
      <c r="J95" s="41"/>
      <c r="K95" s="41">
        <f t="shared" si="21"/>
        <v>0</v>
      </c>
      <c r="L95" s="41">
        <f t="shared" si="22"/>
        <v>24707.300000000003</v>
      </c>
      <c r="M95" s="41">
        <f t="shared" si="23"/>
        <v>278854.56</v>
      </c>
      <c r="N95" s="363">
        <f t="shared" si="20"/>
        <v>0</v>
      </c>
      <c r="O95" s="43" t="s">
        <v>3309</v>
      </c>
      <c r="P95" s="43"/>
      <c r="R95" s="41">
        <f t="shared" si="16"/>
        <v>0</v>
      </c>
      <c r="S95" s="41">
        <f t="shared" si="17"/>
        <v>0</v>
      </c>
      <c r="T95" s="41">
        <f t="shared" si="18"/>
        <v>0</v>
      </c>
      <c r="U95" s="41"/>
      <c r="V95" s="44" t="str">
        <f>IF($P95="High",$S95,IF($P95="Mix",SUMIF('High_Low Voltage Mix Summary'!$B$10:$B$17,$B55,'High_Low Voltage Mix Summary'!$D$10:$D$17),""))</f>
        <v/>
      </c>
      <c r="W95" s="44" t="str">
        <f>IF($P95="Low",$S95,IF($P95="Mix",SUMIF('High_Low Voltage Mix Summary'!$B$10:$B$17,$B55,'High_Low Voltage Mix Summary'!$E$10:$E$17),""))</f>
        <v/>
      </c>
      <c r="X95" s="44" t="str">
        <f>IF($P95="High",$T95,IF($P95="Mix",SUMIF('High_Low Voltage Mix Summary'!$B$10:$B$17,$B55,'High_Low Voltage Mix Summary'!$F$10:$F$17),""))</f>
        <v/>
      </c>
      <c r="Y95" s="44" t="str">
        <f>IF($P95="Low",$T95,IF($P95="Mix",SUMIF('High_Low Voltage Mix Summary'!$B$10:$B$17,$B55,'High_Low Voltage Mix Summary'!$G$10:$G$17),""))</f>
        <v/>
      </c>
      <c r="Z95" s="44" t="str">
        <f>IF(OR($P95="High",$P95="Low"),"",IF($P95="Mix",SUMIF('High_Low Voltage Mix Summary'!$B$10:$B$17,$B55,'High_Low Voltage Mix Summary'!$H$10:$H$17),""))</f>
        <v/>
      </c>
      <c r="AB95" s="49">
        <f>SUMIF('Antelope Bailey Split BA'!$B$7:$B$29,B95,'Antelope Bailey Split BA'!$C$7:$C$29)</f>
        <v>0</v>
      </c>
      <c r="AC95" s="49" t="str">
        <f>IF(AND(AB95=1,'Plant Total by Account'!$H$1=2),"EKWRA","")</f>
        <v/>
      </c>
    </row>
    <row r="96" spans="1:29" x14ac:dyDescent="0.2">
      <c r="A96" s="39" t="s">
        <v>2654</v>
      </c>
      <c r="B96" s="40" t="s">
        <v>195</v>
      </c>
      <c r="C96" s="40" t="s">
        <v>3334</v>
      </c>
      <c r="D96" s="53">
        <v>0</v>
      </c>
      <c r="E96" s="53">
        <v>17049.66</v>
      </c>
      <c r="F96" s="53">
        <v>925592.25</v>
      </c>
      <c r="G96" s="578">
        <f t="shared" si="19"/>
        <v>942641.91</v>
      </c>
      <c r="H96" s="41"/>
      <c r="I96" s="41"/>
      <c r="J96" s="41"/>
      <c r="K96" s="41">
        <f t="shared" si="21"/>
        <v>0</v>
      </c>
      <c r="L96" s="41">
        <f t="shared" si="22"/>
        <v>17049.66</v>
      </c>
      <c r="M96" s="41">
        <f t="shared" si="23"/>
        <v>925592.25</v>
      </c>
      <c r="N96" s="363">
        <f t="shared" si="20"/>
        <v>0</v>
      </c>
      <c r="O96" s="43" t="s">
        <v>3309</v>
      </c>
      <c r="P96" s="43"/>
      <c r="R96" s="41">
        <f t="shared" si="16"/>
        <v>0</v>
      </c>
      <c r="S96" s="41">
        <f t="shared" si="17"/>
        <v>0</v>
      </c>
      <c r="T96" s="41">
        <f t="shared" si="18"/>
        <v>0</v>
      </c>
      <c r="U96" s="41"/>
      <c r="V96" s="44" t="str">
        <f>IF($P96="High",$S96,IF($P96="Mix",SUMIF('High_Low Voltage Mix Summary'!$B$10:$B$17,$B57,'High_Low Voltage Mix Summary'!$D$10:$D$17),""))</f>
        <v/>
      </c>
      <c r="W96" s="44" t="str">
        <f>IF($P96="Low",$S96,IF($P96="Mix",SUMIF('High_Low Voltage Mix Summary'!$B$10:$B$17,$B57,'High_Low Voltage Mix Summary'!$E$10:$E$17),""))</f>
        <v/>
      </c>
      <c r="X96" s="44" t="str">
        <f>IF($P96="High",$T96,IF($P96="Mix",SUMIF('High_Low Voltage Mix Summary'!$B$10:$B$17,$B57,'High_Low Voltage Mix Summary'!$F$10:$F$17),""))</f>
        <v/>
      </c>
      <c r="Y96" s="44" t="str">
        <f>IF($P96="Low",$T96,IF($P96="Mix",SUMIF('High_Low Voltage Mix Summary'!$B$10:$B$17,$B57,'High_Low Voltage Mix Summary'!$G$10:$G$17),""))</f>
        <v/>
      </c>
      <c r="Z96" s="44" t="str">
        <f>IF(OR($P96="High",$P96="Low"),"",IF($P96="Mix",SUMIF('High_Low Voltage Mix Summary'!$B$10:$B$17,$B57,'High_Low Voltage Mix Summary'!$H$10:$H$17),""))</f>
        <v/>
      </c>
      <c r="AB96" s="49">
        <f>SUMIF('Antelope Bailey Split BA'!$B$7:$B$29,B96,'Antelope Bailey Split BA'!$C$7:$C$29)</f>
        <v>0</v>
      </c>
      <c r="AC96" s="49" t="str">
        <f>IF(AND(AB96=1,'Plant Total by Account'!$H$1=2),"EKWRA","")</f>
        <v/>
      </c>
    </row>
    <row r="97" spans="1:29" x14ac:dyDescent="0.2">
      <c r="A97" s="39" t="s">
        <v>2655</v>
      </c>
      <c r="B97" s="40" t="s">
        <v>196</v>
      </c>
      <c r="C97" s="40" t="s">
        <v>3334</v>
      </c>
      <c r="D97" s="53">
        <v>10256.59</v>
      </c>
      <c r="E97" s="53">
        <v>163126.31</v>
      </c>
      <c r="F97" s="53">
        <v>2107680.4499999993</v>
      </c>
      <c r="G97" s="578">
        <f t="shared" si="19"/>
        <v>2281063.3499999992</v>
      </c>
      <c r="H97" s="41"/>
      <c r="I97" s="41"/>
      <c r="J97" s="41"/>
      <c r="K97" s="41">
        <f t="shared" si="21"/>
        <v>10256.59</v>
      </c>
      <c r="L97" s="41">
        <f t="shared" si="22"/>
        <v>163126.31</v>
      </c>
      <c r="M97" s="41">
        <f t="shared" si="23"/>
        <v>2107680.4499999993</v>
      </c>
      <c r="N97" s="363">
        <f t="shared" si="20"/>
        <v>0</v>
      </c>
      <c r="O97" s="43" t="s">
        <v>3309</v>
      </c>
      <c r="P97" s="43"/>
      <c r="R97" s="41">
        <f t="shared" si="16"/>
        <v>0</v>
      </c>
      <c r="S97" s="41">
        <f t="shared" si="17"/>
        <v>0</v>
      </c>
      <c r="T97" s="41">
        <f t="shared" si="18"/>
        <v>0</v>
      </c>
      <c r="U97" s="41"/>
      <c r="V97" s="44" t="str">
        <f>IF($P97="High",$S97,IF($P97="Mix",SUMIF('High_Low Voltage Mix Summary'!$B$10:$B$17,$B58,'High_Low Voltage Mix Summary'!$D$10:$D$17),""))</f>
        <v/>
      </c>
      <c r="W97" s="44" t="str">
        <f>IF($P97="Low",$S97,IF($P97="Mix",SUMIF('High_Low Voltage Mix Summary'!$B$10:$B$17,$B58,'High_Low Voltage Mix Summary'!$E$10:$E$17),""))</f>
        <v/>
      </c>
      <c r="X97" s="44" t="str">
        <f>IF($P97="High",$T97,IF($P97="Mix",SUMIF('High_Low Voltage Mix Summary'!$B$10:$B$17,$B58,'High_Low Voltage Mix Summary'!$F$10:$F$17),""))</f>
        <v/>
      </c>
      <c r="Y97" s="44" t="str">
        <f>IF($P97="Low",$T97,IF($P97="Mix",SUMIF('High_Low Voltage Mix Summary'!$B$10:$B$17,$B58,'High_Low Voltage Mix Summary'!$G$10:$G$17),""))</f>
        <v/>
      </c>
      <c r="Z97" s="44" t="str">
        <f>IF(OR($P97="High",$P97="Low"),"",IF($P97="Mix",SUMIF('High_Low Voltage Mix Summary'!$B$10:$B$17,$B58,'High_Low Voltage Mix Summary'!$H$10:$H$17),""))</f>
        <v/>
      </c>
      <c r="AB97" s="49">
        <f>SUMIF('Antelope Bailey Split BA'!$B$7:$B$29,B97,'Antelope Bailey Split BA'!$C$7:$C$29)</f>
        <v>0</v>
      </c>
      <c r="AC97" s="49" t="str">
        <f>IF(AND(AB97=1,'Plant Total by Account'!$H$1=2),"EKWRA","")</f>
        <v/>
      </c>
    </row>
    <row r="98" spans="1:29" x14ac:dyDescent="0.2">
      <c r="A98" s="39" t="s">
        <v>2656</v>
      </c>
      <c r="B98" s="40" t="s">
        <v>197</v>
      </c>
      <c r="C98" s="40" t="s">
        <v>3333</v>
      </c>
      <c r="D98" s="53">
        <v>2181.62</v>
      </c>
      <c r="E98" s="53">
        <v>416034.94999999995</v>
      </c>
      <c r="F98" s="53">
        <v>1112003.7500000002</v>
      </c>
      <c r="G98" s="578">
        <f t="shared" si="19"/>
        <v>1530220.3200000003</v>
      </c>
      <c r="H98" s="41"/>
      <c r="I98" s="41"/>
      <c r="J98" s="41"/>
      <c r="K98" s="41">
        <f t="shared" si="21"/>
        <v>2181.62</v>
      </c>
      <c r="L98" s="41">
        <f t="shared" si="22"/>
        <v>416034.94999999995</v>
      </c>
      <c r="M98" s="41">
        <f t="shared" si="23"/>
        <v>1112003.7500000002</v>
      </c>
      <c r="N98" s="363">
        <f t="shared" si="20"/>
        <v>0</v>
      </c>
      <c r="O98" s="43" t="s">
        <v>3309</v>
      </c>
      <c r="P98" s="43"/>
      <c r="R98" s="41">
        <f t="shared" si="16"/>
        <v>0</v>
      </c>
      <c r="S98" s="41">
        <f t="shared" si="17"/>
        <v>0</v>
      </c>
      <c r="T98" s="41">
        <f t="shared" si="18"/>
        <v>0</v>
      </c>
      <c r="U98" s="41"/>
      <c r="V98" s="44" t="str">
        <f>IF($P98="High",$S98,IF($P98="Mix",SUMIF('High_Low Voltage Mix Summary'!$B$10:$B$17,$B60,'High_Low Voltage Mix Summary'!$D$10:$D$17),""))</f>
        <v/>
      </c>
      <c r="W98" s="44" t="str">
        <f>IF($P98="Low",$S98,IF($P98="Mix",SUMIF('High_Low Voltage Mix Summary'!$B$10:$B$17,$B60,'High_Low Voltage Mix Summary'!$E$10:$E$17),""))</f>
        <v/>
      </c>
      <c r="X98" s="44" t="str">
        <f>IF($P98="High",$T98,IF($P98="Mix",SUMIF('High_Low Voltage Mix Summary'!$B$10:$B$17,$B60,'High_Low Voltage Mix Summary'!$F$10:$F$17),""))</f>
        <v/>
      </c>
      <c r="Y98" s="44" t="str">
        <f>IF($P98="Low",$T98,IF($P98="Mix",SUMIF('High_Low Voltage Mix Summary'!$B$10:$B$17,$B60,'High_Low Voltage Mix Summary'!$G$10:$G$17),""))</f>
        <v/>
      </c>
      <c r="Z98" s="44" t="str">
        <f>IF(OR($P98="High",$P98="Low"),"",IF($P98="Mix",SUMIF('High_Low Voltage Mix Summary'!$B$10:$B$17,$B60,'High_Low Voltage Mix Summary'!$H$10:$H$17),""))</f>
        <v/>
      </c>
      <c r="AB98" s="49">
        <f>SUMIF('Antelope Bailey Split BA'!$B$7:$B$29,B98,'Antelope Bailey Split BA'!$C$7:$C$29)</f>
        <v>0</v>
      </c>
      <c r="AC98" s="49" t="str">
        <f>IF(AND(AB98=1,'Plant Total by Account'!$H$1=2),"EKWRA","")</f>
        <v/>
      </c>
    </row>
    <row r="99" spans="1:29" x14ac:dyDescent="0.2">
      <c r="A99" s="39" t="s">
        <v>2657</v>
      </c>
      <c r="B99" s="40" t="s">
        <v>198</v>
      </c>
      <c r="C99" s="40" t="s">
        <v>3334</v>
      </c>
      <c r="D99" s="53">
        <v>0</v>
      </c>
      <c r="E99" s="53">
        <v>23420.160000000003</v>
      </c>
      <c r="F99" s="53">
        <v>370890.2</v>
      </c>
      <c r="G99" s="578">
        <f t="shared" si="19"/>
        <v>394310.36</v>
      </c>
      <c r="H99" s="41"/>
      <c r="I99" s="41"/>
      <c r="J99" s="41"/>
      <c r="K99" s="41">
        <f t="shared" si="21"/>
        <v>0</v>
      </c>
      <c r="L99" s="41">
        <f t="shared" si="22"/>
        <v>23420.160000000003</v>
      </c>
      <c r="M99" s="41">
        <f t="shared" si="23"/>
        <v>370890.2</v>
      </c>
      <c r="N99" s="363">
        <f t="shared" si="20"/>
        <v>0</v>
      </c>
      <c r="O99" s="43" t="s">
        <v>3309</v>
      </c>
      <c r="P99" s="43"/>
      <c r="R99" s="41">
        <f t="shared" si="16"/>
        <v>0</v>
      </c>
      <c r="S99" s="41">
        <f t="shared" si="17"/>
        <v>0</v>
      </c>
      <c r="T99" s="41">
        <f t="shared" si="18"/>
        <v>0</v>
      </c>
      <c r="U99" s="41"/>
      <c r="V99" s="44" t="str">
        <f>IF($P99="High",$S99,IF($P99="Mix",SUMIF('High_Low Voltage Mix Summary'!$B$10:$B$17,$B62,'High_Low Voltage Mix Summary'!$D$10:$D$17),""))</f>
        <v/>
      </c>
      <c r="W99" s="44" t="str">
        <f>IF($P99="Low",$S99,IF($P99="Mix",SUMIF('High_Low Voltage Mix Summary'!$B$10:$B$17,$B62,'High_Low Voltage Mix Summary'!$E$10:$E$17),""))</f>
        <v/>
      </c>
      <c r="X99" s="44" t="str">
        <f>IF($P99="High",$T99,IF($P99="Mix",SUMIF('High_Low Voltage Mix Summary'!$B$10:$B$17,$B62,'High_Low Voltage Mix Summary'!$F$10:$F$17),""))</f>
        <v/>
      </c>
      <c r="Y99" s="44" t="str">
        <f>IF($P99="Low",$T99,IF($P99="Mix",SUMIF('High_Low Voltage Mix Summary'!$B$10:$B$17,$B62,'High_Low Voltage Mix Summary'!$G$10:$G$17),""))</f>
        <v/>
      </c>
      <c r="Z99" s="44" t="str">
        <f>IF(OR($P99="High",$P99="Low"),"",IF($P99="Mix",SUMIF('High_Low Voltage Mix Summary'!$B$10:$B$17,$B62,'High_Low Voltage Mix Summary'!$H$10:$H$17),""))</f>
        <v/>
      </c>
      <c r="AB99" s="49">
        <f>SUMIF('Antelope Bailey Split BA'!$B$7:$B$29,B99,'Antelope Bailey Split BA'!$C$7:$C$29)</f>
        <v>0</v>
      </c>
      <c r="AC99" s="49" t="str">
        <f>IF(AND(AB99=1,'Plant Total by Account'!$H$1=2),"EKWRA","")</f>
        <v/>
      </c>
    </row>
    <row r="100" spans="1:29" x14ac:dyDescent="0.2">
      <c r="A100" s="39" t="s">
        <v>2658</v>
      </c>
      <c r="B100" s="40" t="s">
        <v>199</v>
      </c>
      <c r="C100" s="40" t="s">
        <v>3333</v>
      </c>
      <c r="D100" s="53">
        <v>4592.9000000000005</v>
      </c>
      <c r="E100" s="53">
        <v>44905.5</v>
      </c>
      <c r="F100" s="53">
        <v>3288476.1700000009</v>
      </c>
      <c r="G100" s="578">
        <f t="shared" si="19"/>
        <v>3337974.5700000008</v>
      </c>
      <c r="H100" s="41"/>
      <c r="I100" s="41"/>
      <c r="J100" s="41"/>
      <c r="K100" s="41">
        <f t="shared" si="21"/>
        <v>4592.9000000000005</v>
      </c>
      <c r="L100" s="41">
        <f t="shared" si="22"/>
        <v>44905.5</v>
      </c>
      <c r="M100" s="41">
        <f t="shared" si="23"/>
        <v>3288476.1700000009</v>
      </c>
      <c r="N100" s="363">
        <f t="shared" si="20"/>
        <v>0</v>
      </c>
      <c r="O100" s="43" t="s">
        <v>3309</v>
      </c>
      <c r="P100" s="43"/>
      <c r="R100" s="41">
        <f t="shared" si="16"/>
        <v>0</v>
      </c>
      <c r="S100" s="41">
        <f t="shared" si="17"/>
        <v>0</v>
      </c>
      <c r="T100" s="41">
        <f t="shared" si="18"/>
        <v>0</v>
      </c>
      <c r="U100" s="41"/>
      <c r="V100" s="44" t="str">
        <f>IF($P100="High",$S100,IF($P100="Mix",SUMIF('High_Low Voltage Mix Summary'!$B$10:$B$17,$B616,'High_Low Voltage Mix Summary'!$D$10:$D$17),""))</f>
        <v/>
      </c>
      <c r="W100" s="44" t="str">
        <f>IF($P100="Low",$S100,IF($P100="Mix",SUMIF('High_Low Voltage Mix Summary'!$B$10:$B$17,$B616,'High_Low Voltage Mix Summary'!$E$10:$E$17),""))</f>
        <v/>
      </c>
      <c r="X100" s="44" t="str">
        <f>IF($P100="High",$T100,IF($P100="Mix",SUMIF('High_Low Voltage Mix Summary'!$B$10:$B$17,$B616,'High_Low Voltage Mix Summary'!$F$10:$F$17),""))</f>
        <v/>
      </c>
      <c r="Y100" s="44" t="str">
        <f>IF($P100="Low",$T100,IF($P100="Mix",SUMIF('High_Low Voltage Mix Summary'!$B$10:$B$17,$B616,'High_Low Voltage Mix Summary'!$G$10:$G$17),""))</f>
        <v/>
      </c>
      <c r="Z100" s="44" t="str">
        <f>IF(OR($P100="High",$P100="Low"),"",IF($P100="Mix",SUMIF('High_Low Voltage Mix Summary'!$B$10:$B$17,$B616,'High_Low Voltage Mix Summary'!$H$10:$H$17),""))</f>
        <v/>
      </c>
      <c r="AB100" s="49">
        <f>SUMIF('Antelope Bailey Split BA'!$B$7:$B$29,B100,'Antelope Bailey Split BA'!$C$7:$C$29)</f>
        <v>0</v>
      </c>
      <c r="AC100" s="49" t="str">
        <f>IF(AND(AB100=1,'Plant Total by Account'!$H$1=2),"EKWRA","")</f>
        <v/>
      </c>
    </row>
    <row r="101" spans="1:29" x14ac:dyDescent="0.2">
      <c r="A101" s="39" t="s">
        <v>2659</v>
      </c>
      <c r="B101" s="40" t="s">
        <v>200</v>
      </c>
      <c r="C101" s="40" t="s">
        <v>3334</v>
      </c>
      <c r="D101" s="53">
        <v>0</v>
      </c>
      <c r="E101" s="53">
        <v>0</v>
      </c>
      <c r="F101" s="53">
        <v>21866.97</v>
      </c>
      <c r="G101" s="578">
        <f t="shared" si="19"/>
        <v>21866.97</v>
      </c>
      <c r="H101" s="41"/>
      <c r="I101" s="41"/>
      <c r="J101" s="41"/>
      <c r="K101" s="41">
        <f t="shared" si="21"/>
        <v>0</v>
      </c>
      <c r="L101" s="41">
        <f t="shared" si="22"/>
        <v>0</v>
      </c>
      <c r="M101" s="41">
        <f t="shared" si="23"/>
        <v>21866.97</v>
      </c>
      <c r="N101" s="363">
        <f t="shared" si="20"/>
        <v>0</v>
      </c>
      <c r="O101" s="43" t="s">
        <v>3309</v>
      </c>
      <c r="P101" s="43"/>
      <c r="R101" s="41">
        <f t="shared" si="16"/>
        <v>0</v>
      </c>
      <c r="S101" s="41">
        <f t="shared" si="17"/>
        <v>0</v>
      </c>
      <c r="T101" s="41">
        <f t="shared" si="18"/>
        <v>0</v>
      </c>
      <c r="U101" s="41"/>
      <c r="V101" s="44" t="str">
        <f>IF($P101="High",$S101,IF($P101="Mix",SUMIF('High_Low Voltage Mix Summary'!$B$10:$B$17,$B65,'High_Low Voltage Mix Summary'!$D$10:$D$17),""))</f>
        <v/>
      </c>
      <c r="W101" s="44" t="str">
        <f>IF($P101="Low",$S101,IF($P101="Mix",SUMIF('High_Low Voltage Mix Summary'!$B$10:$B$17,$B65,'High_Low Voltage Mix Summary'!$E$10:$E$17),""))</f>
        <v/>
      </c>
      <c r="X101" s="44" t="str">
        <f>IF($P101="High",$T101,IF($P101="Mix",SUMIF('High_Low Voltage Mix Summary'!$B$10:$B$17,$B65,'High_Low Voltage Mix Summary'!$F$10:$F$17),""))</f>
        <v/>
      </c>
      <c r="Y101" s="44" t="str">
        <f>IF($P101="Low",$T101,IF($P101="Mix",SUMIF('High_Low Voltage Mix Summary'!$B$10:$B$17,$B65,'High_Low Voltage Mix Summary'!$G$10:$G$17),""))</f>
        <v/>
      </c>
      <c r="Z101" s="44" t="str">
        <f>IF(OR($P101="High",$P101="Low"),"",IF($P101="Mix",SUMIF('High_Low Voltage Mix Summary'!$B$10:$B$17,$B65,'High_Low Voltage Mix Summary'!$H$10:$H$17),""))</f>
        <v/>
      </c>
      <c r="AB101" s="49">
        <f>SUMIF('Antelope Bailey Split BA'!$B$7:$B$29,B101,'Antelope Bailey Split BA'!$C$7:$C$29)</f>
        <v>0</v>
      </c>
      <c r="AC101" s="49" t="str">
        <f>IF(AND(AB101=1,'Plant Total by Account'!$H$1=2),"EKWRA","")</f>
        <v/>
      </c>
    </row>
    <row r="102" spans="1:29" x14ac:dyDescent="0.2">
      <c r="A102" s="39" t="s">
        <v>2660</v>
      </c>
      <c r="B102" s="40" t="s">
        <v>201</v>
      </c>
      <c r="C102" s="40" t="s">
        <v>3334</v>
      </c>
      <c r="D102" s="53">
        <v>0</v>
      </c>
      <c r="E102" s="53">
        <v>0</v>
      </c>
      <c r="F102" s="53">
        <v>684026.67999999993</v>
      </c>
      <c r="G102" s="578">
        <f t="shared" si="19"/>
        <v>684026.67999999993</v>
      </c>
      <c r="H102" s="41"/>
      <c r="I102" s="41"/>
      <c r="J102" s="41"/>
      <c r="K102" s="41">
        <f t="shared" si="21"/>
        <v>0</v>
      </c>
      <c r="L102" s="41">
        <f t="shared" si="22"/>
        <v>0</v>
      </c>
      <c r="M102" s="41">
        <f t="shared" si="23"/>
        <v>684026.67999999993</v>
      </c>
      <c r="N102" s="363">
        <f t="shared" si="20"/>
        <v>0</v>
      </c>
      <c r="O102" s="43" t="s">
        <v>3309</v>
      </c>
      <c r="P102" s="43"/>
      <c r="R102" s="41">
        <f t="shared" si="16"/>
        <v>0</v>
      </c>
      <c r="S102" s="41">
        <f t="shared" si="17"/>
        <v>0</v>
      </c>
      <c r="T102" s="41">
        <f t="shared" si="18"/>
        <v>0</v>
      </c>
      <c r="U102" s="41"/>
      <c r="V102" s="44" t="str">
        <f>IF($P102="High",$S102,IF($P102="Mix",SUMIF('High_Low Voltage Mix Summary'!$B$10:$B$17,$B617,'High_Low Voltage Mix Summary'!$D$10:$D$17),""))</f>
        <v/>
      </c>
      <c r="W102" s="44" t="str">
        <f>IF($P102="Low",$S102,IF($P102="Mix",SUMIF('High_Low Voltage Mix Summary'!$B$10:$B$17,$B617,'High_Low Voltage Mix Summary'!$E$10:$E$17),""))</f>
        <v/>
      </c>
      <c r="X102" s="44" t="str">
        <f>IF($P102="High",$T102,IF($P102="Mix",SUMIF('High_Low Voltage Mix Summary'!$B$10:$B$17,$B617,'High_Low Voltage Mix Summary'!$F$10:$F$17),""))</f>
        <v/>
      </c>
      <c r="Y102" s="44" t="str">
        <f>IF($P102="Low",$T102,IF($P102="Mix",SUMIF('High_Low Voltage Mix Summary'!$B$10:$B$17,$B617,'High_Low Voltage Mix Summary'!$G$10:$G$17),""))</f>
        <v/>
      </c>
      <c r="Z102" s="44" t="str">
        <f>IF(OR($P102="High",$P102="Low"),"",IF($P102="Mix",SUMIF('High_Low Voltage Mix Summary'!$B$10:$B$17,$B617,'High_Low Voltage Mix Summary'!$H$10:$H$17),""))</f>
        <v/>
      </c>
      <c r="AB102" s="49">
        <f>SUMIF('Antelope Bailey Split BA'!$B$7:$B$29,B102,'Antelope Bailey Split BA'!$C$7:$C$29)</f>
        <v>0</v>
      </c>
      <c r="AC102" s="49" t="str">
        <f>IF(AND(AB102=1,'Plant Total by Account'!$H$1=2),"EKWRA","")</f>
        <v/>
      </c>
    </row>
    <row r="103" spans="1:29" x14ac:dyDescent="0.2">
      <c r="A103" s="39" t="s">
        <v>2661</v>
      </c>
      <c r="B103" s="45" t="s">
        <v>202</v>
      </c>
      <c r="C103" s="40" t="s">
        <v>3334</v>
      </c>
      <c r="D103" s="53">
        <v>0</v>
      </c>
      <c r="E103" s="53">
        <v>11741.550000000001</v>
      </c>
      <c r="F103" s="53">
        <v>514420.91</v>
      </c>
      <c r="G103" s="578">
        <f t="shared" si="19"/>
        <v>526162.46</v>
      </c>
      <c r="H103" s="41"/>
      <c r="I103" s="41"/>
      <c r="J103" s="41"/>
      <c r="K103" s="41">
        <f t="shared" si="21"/>
        <v>0</v>
      </c>
      <c r="L103" s="41">
        <f t="shared" si="22"/>
        <v>11741.550000000001</v>
      </c>
      <c r="M103" s="41">
        <f t="shared" si="23"/>
        <v>514420.91</v>
      </c>
      <c r="N103" s="363">
        <f t="shared" si="20"/>
        <v>0</v>
      </c>
      <c r="O103" s="43" t="s">
        <v>3309</v>
      </c>
      <c r="P103" s="43"/>
      <c r="R103" s="41">
        <f t="shared" si="16"/>
        <v>0</v>
      </c>
      <c r="S103" s="41">
        <f t="shared" si="17"/>
        <v>0</v>
      </c>
      <c r="T103" s="41">
        <f t="shared" si="18"/>
        <v>0</v>
      </c>
      <c r="U103" s="41"/>
      <c r="V103" s="44" t="str">
        <f>IF($P103="High",$S103,IF($P103="Mix",SUMIF('High_Low Voltage Mix Summary'!$B$10:$B$17,$B559,'High_Low Voltage Mix Summary'!$D$10:$D$17),""))</f>
        <v/>
      </c>
      <c r="W103" s="44" t="str">
        <f>IF($P103="Low",$S103,IF($P103="Mix",SUMIF('High_Low Voltage Mix Summary'!$B$10:$B$17,$B559,'High_Low Voltage Mix Summary'!$E$10:$E$17),""))</f>
        <v/>
      </c>
      <c r="X103" s="44" t="str">
        <f>IF($P103="High",$T103,IF($P103="Mix",SUMIF('High_Low Voltage Mix Summary'!$B$10:$B$17,$B559,'High_Low Voltage Mix Summary'!$F$10:$F$17),""))</f>
        <v/>
      </c>
      <c r="Y103" s="44" t="str">
        <f>IF($P103="Low",$T103,IF($P103="Mix",SUMIF('High_Low Voltage Mix Summary'!$B$10:$B$17,$B559,'High_Low Voltage Mix Summary'!$G$10:$G$17),""))</f>
        <v/>
      </c>
      <c r="Z103" s="44" t="str">
        <f>IF(OR($P103="High",$P103="Low"),"",IF($P103="Mix",SUMIF('High_Low Voltage Mix Summary'!$B$10:$B$17,$B559,'High_Low Voltage Mix Summary'!$H$10:$H$17),""))</f>
        <v/>
      </c>
      <c r="AB103" s="49">
        <f>SUMIF('Antelope Bailey Split BA'!$B$7:$B$29,B103,'Antelope Bailey Split BA'!$C$7:$C$29)</f>
        <v>0</v>
      </c>
      <c r="AC103" s="49" t="str">
        <f>IF(AND(AB103=1,'Plant Total by Account'!$H$1=2),"EKWRA","")</f>
        <v/>
      </c>
    </row>
    <row r="104" spans="1:29" x14ac:dyDescent="0.2">
      <c r="A104" s="39" t="s">
        <v>2662</v>
      </c>
      <c r="B104" s="45" t="s">
        <v>203</v>
      </c>
      <c r="C104" s="40" t="s">
        <v>3334</v>
      </c>
      <c r="D104" s="53">
        <v>0</v>
      </c>
      <c r="E104" s="53">
        <v>376764.99</v>
      </c>
      <c r="F104" s="53">
        <v>3300849.6300000018</v>
      </c>
      <c r="G104" s="578">
        <f t="shared" si="19"/>
        <v>3677614.620000002</v>
      </c>
      <c r="H104" s="41"/>
      <c r="I104" s="41"/>
      <c r="J104" s="41"/>
      <c r="K104" s="41">
        <f t="shared" si="21"/>
        <v>0</v>
      </c>
      <c r="L104" s="41">
        <f t="shared" si="22"/>
        <v>376764.99</v>
      </c>
      <c r="M104" s="41">
        <f t="shared" si="23"/>
        <v>3300849.6300000018</v>
      </c>
      <c r="N104" s="363">
        <f t="shared" si="20"/>
        <v>0</v>
      </c>
      <c r="O104" s="43" t="s">
        <v>3309</v>
      </c>
      <c r="P104" s="43"/>
      <c r="R104" s="41">
        <f t="shared" si="16"/>
        <v>0</v>
      </c>
      <c r="S104" s="41">
        <f t="shared" si="17"/>
        <v>0</v>
      </c>
      <c r="T104" s="41">
        <f t="shared" si="18"/>
        <v>0</v>
      </c>
      <c r="U104" s="41"/>
      <c r="V104" s="44" t="str">
        <f>IF($P104="High",$S104,IF($P104="Mix",SUMIF('High_Low Voltage Mix Summary'!$B$10:$B$17,$B560,'High_Low Voltage Mix Summary'!$D$10:$D$17),""))</f>
        <v/>
      </c>
      <c r="W104" s="44" t="str">
        <f>IF($P104="Low",$S104,IF($P104="Mix",SUMIF('High_Low Voltage Mix Summary'!$B$10:$B$17,$B560,'High_Low Voltage Mix Summary'!$E$10:$E$17),""))</f>
        <v/>
      </c>
      <c r="X104" s="44" t="str">
        <f>IF($P104="High",$T104,IF($P104="Mix",SUMIF('High_Low Voltage Mix Summary'!$B$10:$B$17,$B560,'High_Low Voltage Mix Summary'!$F$10:$F$17),""))</f>
        <v/>
      </c>
      <c r="Y104" s="44" t="str">
        <f>IF($P104="Low",$T104,IF($P104="Mix",SUMIF('High_Low Voltage Mix Summary'!$B$10:$B$17,$B560,'High_Low Voltage Mix Summary'!$G$10:$G$17),""))</f>
        <v/>
      </c>
      <c r="Z104" s="44" t="str">
        <f>IF(OR($P104="High",$P104="Low"),"",IF($P104="Mix",SUMIF('High_Low Voltage Mix Summary'!$B$10:$B$17,$B560,'High_Low Voltage Mix Summary'!$H$10:$H$17),""))</f>
        <v/>
      </c>
      <c r="AB104" s="49">
        <f>SUMIF('Antelope Bailey Split BA'!$B$7:$B$29,B104,'Antelope Bailey Split BA'!$C$7:$C$29)</f>
        <v>0</v>
      </c>
      <c r="AC104" s="49" t="str">
        <f>IF(AND(AB104=1,'Plant Total by Account'!$H$1=2),"EKWRA","")</f>
        <v/>
      </c>
    </row>
    <row r="105" spans="1:29" x14ac:dyDescent="0.2">
      <c r="A105" s="39" t="s">
        <v>2663</v>
      </c>
      <c r="B105" s="40" t="s">
        <v>204</v>
      </c>
      <c r="C105" s="40" t="s">
        <v>3334</v>
      </c>
      <c r="D105" s="53">
        <v>0</v>
      </c>
      <c r="E105" s="53">
        <v>9728.6</v>
      </c>
      <c r="F105" s="53">
        <v>1028990.74</v>
      </c>
      <c r="G105" s="578">
        <f t="shared" si="19"/>
        <v>1038719.34</v>
      </c>
      <c r="H105" s="41"/>
      <c r="I105" s="41"/>
      <c r="J105" s="41"/>
      <c r="K105" s="41">
        <f t="shared" si="21"/>
        <v>0</v>
      </c>
      <c r="L105" s="41">
        <f t="shared" si="22"/>
        <v>9728.6</v>
      </c>
      <c r="M105" s="41">
        <f t="shared" si="23"/>
        <v>1028990.74</v>
      </c>
      <c r="N105" s="363">
        <f t="shared" si="20"/>
        <v>0</v>
      </c>
      <c r="O105" s="43" t="s">
        <v>3309</v>
      </c>
      <c r="P105" s="43"/>
      <c r="R105" s="41">
        <f t="shared" si="16"/>
        <v>0</v>
      </c>
      <c r="S105" s="41">
        <f t="shared" si="17"/>
        <v>0</v>
      </c>
      <c r="T105" s="41">
        <f t="shared" si="18"/>
        <v>0</v>
      </c>
      <c r="U105" s="41"/>
      <c r="V105" s="44" t="str">
        <f>IF($P105="High",$S105,IF($P105="Mix",SUMIF('High_Low Voltage Mix Summary'!$B$10:$B$17,$B67,'High_Low Voltage Mix Summary'!$D$10:$D$17),""))</f>
        <v/>
      </c>
      <c r="W105" s="44" t="str">
        <f>IF($P105="Low",$S105,IF($P105="Mix",SUMIF('High_Low Voltage Mix Summary'!$B$10:$B$17,$B67,'High_Low Voltage Mix Summary'!$E$10:$E$17),""))</f>
        <v/>
      </c>
      <c r="X105" s="44" t="str">
        <f>IF($P105="High",$T105,IF($P105="Mix",SUMIF('High_Low Voltage Mix Summary'!$B$10:$B$17,$B67,'High_Low Voltage Mix Summary'!$F$10:$F$17),""))</f>
        <v/>
      </c>
      <c r="Y105" s="44" t="str">
        <f>IF($P105="Low",$T105,IF($P105="Mix",SUMIF('High_Low Voltage Mix Summary'!$B$10:$B$17,$B67,'High_Low Voltage Mix Summary'!$G$10:$G$17),""))</f>
        <v/>
      </c>
      <c r="Z105" s="44" t="str">
        <f>IF(OR($P105="High",$P105="Low"),"",IF($P105="Mix",SUMIF('High_Low Voltage Mix Summary'!$B$10:$B$17,$B67,'High_Low Voltage Mix Summary'!$H$10:$H$17),""))</f>
        <v/>
      </c>
      <c r="AB105" s="49">
        <f>SUMIF('Antelope Bailey Split BA'!$B$7:$B$29,B105,'Antelope Bailey Split BA'!$C$7:$C$29)</f>
        <v>0</v>
      </c>
      <c r="AC105" s="49" t="str">
        <f>IF(AND(AB105=1,'Plant Total by Account'!$H$1=2),"EKWRA","")</f>
        <v/>
      </c>
    </row>
    <row r="106" spans="1:29" x14ac:dyDescent="0.2">
      <c r="A106" s="39" t="s">
        <v>2664</v>
      </c>
      <c r="B106" s="40" t="s">
        <v>205</v>
      </c>
      <c r="C106" s="40" t="s">
        <v>3334</v>
      </c>
      <c r="D106" s="53">
        <v>0</v>
      </c>
      <c r="E106" s="53">
        <v>3613.4300000000003</v>
      </c>
      <c r="F106" s="53">
        <v>1280174.8300000003</v>
      </c>
      <c r="G106" s="578">
        <f t="shared" si="19"/>
        <v>1283788.2600000002</v>
      </c>
      <c r="H106" s="41"/>
      <c r="I106" s="41"/>
      <c r="J106" s="41"/>
      <c r="K106" s="41">
        <f t="shared" si="21"/>
        <v>0</v>
      </c>
      <c r="L106" s="41">
        <f t="shared" si="22"/>
        <v>3613.4300000000003</v>
      </c>
      <c r="M106" s="41">
        <f t="shared" si="23"/>
        <v>1280174.8300000003</v>
      </c>
      <c r="N106" s="363">
        <f t="shared" si="20"/>
        <v>0</v>
      </c>
      <c r="O106" s="43" t="s">
        <v>3309</v>
      </c>
      <c r="P106" s="43"/>
      <c r="R106" s="41">
        <f t="shared" si="16"/>
        <v>0</v>
      </c>
      <c r="S106" s="41">
        <f t="shared" si="17"/>
        <v>0</v>
      </c>
      <c r="T106" s="41">
        <f t="shared" si="18"/>
        <v>0</v>
      </c>
      <c r="U106" s="41"/>
      <c r="V106" s="44" t="str">
        <f>IF($P106="High",$S106,IF($P106="Mix",SUMIF('High_Low Voltage Mix Summary'!$B$10:$B$17,$B69,'High_Low Voltage Mix Summary'!$D$10:$D$17),""))</f>
        <v/>
      </c>
      <c r="W106" s="44" t="str">
        <f>IF($P106="Low",$S106,IF($P106="Mix",SUMIF('High_Low Voltage Mix Summary'!$B$10:$B$17,$B69,'High_Low Voltage Mix Summary'!$E$10:$E$17),""))</f>
        <v/>
      </c>
      <c r="X106" s="44" t="str">
        <f>IF($P106="High",$T106,IF($P106="Mix",SUMIF('High_Low Voltage Mix Summary'!$B$10:$B$17,$B69,'High_Low Voltage Mix Summary'!$F$10:$F$17),""))</f>
        <v/>
      </c>
      <c r="Y106" s="44" t="str">
        <f>IF($P106="Low",$T106,IF($P106="Mix",SUMIF('High_Low Voltage Mix Summary'!$B$10:$B$17,$B69,'High_Low Voltage Mix Summary'!$G$10:$G$17),""))</f>
        <v/>
      </c>
      <c r="Z106" s="44" t="str">
        <f>IF(OR($P106="High",$P106="Low"),"",IF($P106="Mix",SUMIF('High_Low Voltage Mix Summary'!$B$10:$B$17,$B69,'High_Low Voltage Mix Summary'!$H$10:$H$17),""))</f>
        <v/>
      </c>
      <c r="AB106" s="49">
        <f>SUMIF('Antelope Bailey Split BA'!$B$7:$B$29,B106,'Antelope Bailey Split BA'!$C$7:$C$29)</f>
        <v>0</v>
      </c>
      <c r="AC106" s="49" t="str">
        <f>IF(AND(AB106=1,'Plant Total by Account'!$H$1=2),"EKWRA","")</f>
        <v/>
      </c>
    </row>
    <row r="107" spans="1:29" x14ac:dyDescent="0.2">
      <c r="A107" s="39" t="s">
        <v>2665</v>
      </c>
      <c r="B107" s="40" t="s">
        <v>206</v>
      </c>
      <c r="C107" s="40" t="s">
        <v>3333</v>
      </c>
      <c r="D107" s="53">
        <v>5711.62</v>
      </c>
      <c r="E107" s="53">
        <v>35931.050000000003</v>
      </c>
      <c r="F107" s="53">
        <v>1597623.9299999981</v>
      </c>
      <c r="G107" s="578">
        <f t="shared" si="19"/>
        <v>1639266.599999998</v>
      </c>
      <c r="H107" s="41"/>
      <c r="I107" s="41"/>
      <c r="J107" s="41"/>
      <c r="K107" s="41">
        <f t="shared" si="21"/>
        <v>5711.62</v>
      </c>
      <c r="L107" s="41">
        <f t="shared" si="22"/>
        <v>35931.050000000003</v>
      </c>
      <c r="M107" s="41">
        <f t="shared" si="23"/>
        <v>1597623.9299999981</v>
      </c>
      <c r="N107" s="363">
        <f t="shared" si="20"/>
        <v>0</v>
      </c>
      <c r="O107" s="43" t="s">
        <v>3309</v>
      </c>
      <c r="P107" s="43"/>
      <c r="R107" s="41">
        <f t="shared" si="16"/>
        <v>0</v>
      </c>
      <c r="S107" s="41">
        <f t="shared" si="17"/>
        <v>0</v>
      </c>
      <c r="T107" s="41">
        <f t="shared" si="18"/>
        <v>0</v>
      </c>
      <c r="U107" s="41"/>
      <c r="V107" s="44" t="str">
        <f>IF($P107="High",$S107,IF($P107="Mix",SUMIF('High_Low Voltage Mix Summary'!$B$10:$B$17,$B70,'High_Low Voltage Mix Summary'!$D$10:$D$17),""))</f>
        <v/>
      </c>
      <c r="W107" s="44" t="str">
        <f>IF($P107="Low",$S107,IF($P107="Mix",SUMIF('High_Low Voltage Mix Summary'!$B$10:$B$17,$B70,'High_Low Voltage Mix Summary'!$E$10:$E$17),""))</f>
        <v/>
      </c>
      <c r="X107" s="44" t="str">
        <f>IF($P107="High",$T107,IF($P107="Mix",SUMIF('High_Low Voltage Mix Summary'!$B$10:$B$17,$B70,'High_Low Voltage Mix Summary'!$F$10:$F$17),""))</f>
        <v/>
      </c>
      <c r="Y107" s="44" t="str">
        <f>IF($P107="Low",$T107,IF($P107="Mix",SUMIF('High_Low Voltage Mix Summary'!$B$10:$B$17,$B70,'High_Low Voltage Mix Summary'!$G$10:$G$17),""))</f>
        <v/>
      </c>
      <c r="Z107" s="44" t="str">
        <f>IF(OR($P107="High",$P107="Low"),"",IF($P107="Mix",SUMIF('High_Low Voltage Mix Summary'!$B$10:$B$17,$B70,'High_Low Voltage Mix Summary'!$H$10:$H$17),""))</f>
        <v/>
      </c>
      <c r="AB107" s="49">
        <f>SUMIF('Antelope Bailey Split BA'!$B$7:$B$29,B107,'Antelope Bailey Split BA'!$C$7:$C$29)</f>
        <v>0</v>
      </c>
      <c r="AC107" s="49" t="str">
        <f>IF(AND(AB107=1,'Plant Total by Account'!$H$1=2),"EKWRA","")</f>
        <v/>
      </c>
    </row>
    <row r="108" spans="1:29" x14ac:dyDescent="0.2">
      <c r="A108" s="39" t="s">
        <v>2403</v>
      </c>
      <c r="B108" s="40" t="s">
        <v>207</v>
      </c>
      <c r="C108" s="40" t="s">
        <v>3333</v>
      </c>
      <c r="D108" s="53">
        <v>966.4</v>
      </c>
      <c r="E108" s="53">
        <v>31522.09</v>
      </c>
      <c r="F108" s="53">
        <v>1466708.24</v>
      </c>
      <c r="G108" s="578">
        <f t="shared" si="19"/>
        <v>1499196.73</v>
      </c>
      <c r="H108" s="41"/>
      <c r="I108" s="41"/>
      <c r="J108" s="41"/>
      <c r="K108" s="41">
        <f t="shared" si="21"/>
        <v>966.4</v>
      </c>
      <c r="L108" s="41">
        <f t="shared" si="22"/>
        <v>31522.09</v>
      </c>
      <c r="M108" s="41">
        <f t="shared" si="23"/>
        <v>1466708.24</v>
      </c>
      <c r="N108" s="363">
        <f t="shared" si="20"/>
        <v>0</v>
      </c>
      <c r="O108" s="43" t="s">
        <v>3309</v>
      </c>
      <c r="P108" s="43"/>
      <c r="R108" s="41">
        <f t="shared" si="16"/>
        <v>0</v>
      </c>
      <c r="S108" s="41">
        <f t="shared" si="17"/>
        <v>0</v>
      </c>
      <c r="T108" s="41">
        <f t="shared" si="18"/>
        <v>0</v>
      </c>
      <c r="U108" s="41"/>
      <c r="V108" s="44" t="str">
        <f>IF($P108="High",$S108,IF($P108="Mix",SUMIF('High_Low Voltage Mix Summary'!$B$10:$B$17,$B72,'High_Low Voltage Mix Summary'!$D$10:$D$17),""))</f>
        <v/>
      </c>
      <c r="W108" s="44" t="str">
        <f>IF($P108="Low",$S108,IF($P108="Mix",SUMIF('High_Low Voltage Mix Summary'!$B$10:$B$17,$B72,'High_Low Voltage Mix Summary'!$E$10:$E$17),""))</f>
        <v/>
      </c>
      <c r="X108" s="44" t="str">
        <f>IF($P108="High",$T108,IF($P108="Mix",SUMIF('High_Low Voltage Mix Summary'!$B$10:$B$17,$B72,'High_Low Voltage Mix Summary'!$F$10:$F$17),""))</f>
        <v/>
      </c>
      <c r="Y108" s="44" t="str">
        <f>IF($P108="Low",$T108,IF($P108="Mix",SUMIF('High_Low Voltage Mix Summary'!$B$10:$B$17,$B72,'High_Low Voltage Mix Summary'!$G$10:$G$17),""))</f>
        <v/>
      </c>
      <c r="Z108" s="44" t="str">
        <f>IF(OR($P108="High",$P108="Low"),"",IF($P108="Mix",SUMIF('High_Low Voltage Mix Summary'!$B$10:$B$17,$B72,'High_Low Voltage Mix Summary'!$H$10:$H$17),""))</f>
        <v/>
      </c>
      <c r="AB108" s="49">
        <f>SUMIF('Antelope Bailey Split BA'!$B$7:$B$29,B108,'Antelope Bailey Split BA'!$C$7:$C$29)</f>
        <v>0</v>
      </c>
      <c r="AC108" s="49" t="str">
        <f>IF(AND(AB108=1,'Plant Total by Account'!$H$1=2),"EKWRA","")</f>
        <v/>
      </c>
    </row>
    <row r="109" spans="1:29" x14ac:dyDescent="0.2">
      <c r="A109" s="39" t="s">
        <v>2666</v>
      </c>
      <c r="B109" s="40" t="s">
        <v>208</v>
      </c>
      <c r="C109" s="40" t="s">
        <v>3333</v>
      </c>
      <c r="D109" s="53">
        <v>1868.42</v>
      </c>
      <c r="E109" s="53">
        <v>36545.949999999997</v>
      </c>
      <c r="F109" s="53">
        <v>414119.27999999991</v>
      </c>
      <c r="G109" s="578">
        <f t="shared" si="19"/>
        <v>452533.64999999991</v>
      </c>
      <c r="H109" s="41"/>
      <c r="I109" s="41"/>
      <c r="J109" s="41"/>
      <c r="K109" s="41">
        <f t="shared" si="21"/>
        <v>1868.42</v>
      </c>
      <c r="L109" s="41">
        <f t="shared" si="22"/>
        <v>36545.949999999997</v>
      </c>
      <c r="M109" s="41">
        <f t="shared" si="23"/>
        <v>414119.27999999991</v>
      </c>
      <c r="N109" s="363">
        <f t="shared" si="20"/>
        <v>0</v>
      </c>
      <c r="O109" s="43" t="s">
        <v>3309</v>
      </c>
      <c r="P109" s="43"/>
      <c r="R109" s="41">
        <f t="shared" si="16"/>
        <v>0</v>
      </c>
      <c r="S109" s="41">
        <f t="shared" si="17"/>
        <v>0</v>
      </c>
      <c r="T109" s="41">
        <f t="shared" si="18"/>
        <v>0</v>
      </c>
      <c r="U109" s="41"/>
      <c r="V109" s="44" t="str">
        <f>IF($P109="High",$S109,IF($P109="Mix",SUMIF('High_Low Voltage Mix Summary'!$B$10:$B$17,$B618,'High_Low Voltage Mix Summary'!$D$10:$D$17),""))</f>
        <v/>
      </c>
      <c r="W109" s="44" t="str">
        <f>IF($P109="Low",$S109,IF($P109="Mix",SUMIF('High_Low Voltage Mix Summary'!$B$10:$B$17,$B618,'High_Low Voltage Mix Summary'!$E$10:$E$17),""))</f>
        <v/>
      </c>
      <c r="X109" s="44" t="str">
        <f>IF($P109="High",$T109,IF($P109="Mix",SUMIF('High_Low Voltage Mix Summary'!$B$10:$B$17,$B618,'High_Low Voltage Mix Summary'!$F$10:$F$17),""))</f>
        <v/>
      </c>
      <c r="Y109" s="44" t="str">
        <f>IF($P109="Low",$T109,IF($P109="Mix",SUMIF('High_Low Voltage Mix Summary'!$B$10:$B$17,$B618,'High_Low Voltage Mix Summary'!$G$10:$G$17),""))</f>
        <v/>
      </c>
      <c r="Z109" s="44" t="str">
        <f>IF(OR($P109="High",$P109="Low"),"",IF($P109="Mix",SUMIF('High_Low Voltage Mix Summary'!$B$10:$B$17,$B618,'High_Low Voltage Mix Summary'!$H$10:$H$17),""))</f>
        <v/>
      </c>
      <c r="AB109" s="49">
        <f>SUMIF('Antelope Bailey Split BA'!$B$7:$B$29,B109,'Antelope Bailey Split BA'!$C$7:$C$29)</f>
        <v>0</v>
      </c>
      <c r="AC109" s="49" t="str">
        <f>IF(AND(AB109=1,'Plant Total by Account'!$H$1=2),"EKWRA","")</f>
        <v/>
      </c>
    </row>
    <row r="110" spans="1:29" x14ac:dyDescent="0.2">
      <c r="A110" s="39" t="s">
        <v>2667</v>
      </c>
      <c r="B110" s="40" t="s">
        <v>209</v>
      </c>
      <c r="C110" s="40" t="s">
        <v>3334</v>
      </c>
      <c r="D110" s="53">
        <v>16471.079999999998</v>
      </c>
      <c r="E110" s="53">
        <v>196025.86000000004</v>
      </c>
      <c r="F110" s="53">
        <v>2607998.9299999992</v>
      </c>
      <c r="G110" s="578">
        <f t="shared" si="19"/>
        <v>2820495.8699999992</v>
      </c>
      <c r="H110" s="41"/>
      <c r="I110" s="41"/>
      <c r="J110" s="41"/>
      <c r="K110" s="41">
        <f t="shared" si="21"/>
        <v>16471.079999999998</v>
      </c>
      <c r="L110" s="41">
        <f t="shared" si="22"/>
        <v>196025.86000000004</v>
      </c>
      <c r="M110" s="41">
        <f t="shared" si="23"/>
        <v>2607998.9299999992</v>
      </c>
      <c r="N110" s="363">
        <f t="shared" si="20"/>
        <v>0</v>
      </c>
      <c r="O110" s="43" t="s">
        <v>3309</v>
      </c>
      <c r="P110" s="43"/>
      <c r="R110" s="41">
        <f t="shared" si="16"/>
        <v>0</v>
      </c>
      <c r="S110" s="41">
        <f t="shared" si="17"/>
        <v>0</v>
      </c>
      <c r="T110" s="41">
        <f t="shared" si="18"/>
        <v>0</v>
      </c>
      <c r="U110" s="41"/>
      <c r="V110" s="44" t="str">
        <f>IF($P110="High",$S110,IF($P110="Mix",SUMIF('High_Low Voltage Mix Summary'!$B$10:$B$17,$B619,'High_Low Voltage Mix Summary'!$D$10:$D$17),""))</f>
        <v/>
      </c>
      <c r="W110" s="44" t="str">
        <f>IF($P110="Low",$S110,IF($P110="Mix",SUMIF('High_Low Voltage Mix Summary'!$B$10:$B$17,$B619,'High_Low Voltage Mix Summary'!$E$10:$E$17),""))</f>
        <v/>
      </c>
      <c r="X110" s="44" t="str">
        <f>IF($P110="High",$T110,IF($P110="Mix",SUMIF('High_Low Voltage Mix Summary'!$B$10:$B$17,$B619,'High_Low Voltage Mix Summary'!$F$10:$F$17),""))</f>
        <v/>
      </c>
      <c r="Y110" s="44" t="str">
        <f>IF($P110="Low",$T110,IF($P110="Mix",SUMIF('High_Low Voltage Mix Summary'!$B$10:$B$17,$B619,'High_Low Voltage Mix Summary'!$G$10:$G$17),""))</f>
        <v/>
      </c>
      <c r="Z110" s="44" t="str">
        <f>IF(OR($P110="High",$P110="Low"),"",IF($P110="Mix",SUMIF('High_Low Voltage Mix Summary'!$B$10:$B$17,$B619,'High_Low Voltage Mix Summary'!$H$10:$H$17),""))</f>
        <v/>
      </c>
      <c r="AB110" s="49">
        <f>SUMIF('Antelope Bailey Split BA'!$B$7:$B$29,B110,'Antelope Bailey Split BA'!$C$7:$C$29)</f>
        <v>0</v>
      </c>
      <c r="AC110" s="49" t="str">
        <f>IF(AND(AB110=1,'Plant Total by Account'!$H$1=2),"EKWRA","")</f>
        <v/>
      </c>
    </row>
    <row r="111" spans="1:29" x14ac:dyDescent="0.2">
      <c r="A111" s="39" t="s">
        <v>2668</v>
      </c>
      <c r="B111" s="40" t="s">
        <v>2669</v>
      </c>
      <c r="C111" s="40"/>
      <c r="D111" s="53">
        <v>0</v>
      </c>
      <c r="E111" s="53">
        <v>16142.849999999999</v>
      </c>
      <c r="F111" s="53">
        <v>0</v>
      </c>
      <c r="G111" s="578">
        <f t="shared" si="19"/>
        <v>16142.849999999999</v>
      </c>
      <c r="H111" s="41"/>
      <c r="I111" s="41"/>
      <c r="J111" s="41"/>
      <c r="K111" s="41">
        <f t="shared" si="21"/>
        <v>0</v>
      </c>
      <c r="L111" s="41">
        <f t="shared" si="22"/>
        <v>16142.849999999999</v>
      </c>
      <c r="M111" s="41">
        <f t="shared" si="23"/>
        <v>0</v>
      </c>
      <c r="N111" s="363">
        <f t="shared" si="20"/>
        <v>0</v>
      </c>
      <c r="O111" s="43" t="s">
        <v>3309</v>
      </c>
      <c r="P111" s="43"/>
      <c r="R111" s="41">
        <f t="shared" si="16"/>
        <v>0</v>
      </c>
      <c r="S111" s="41">
        <f t="shared" si="17"/>
        <v>0</v>
      </c>
      <c r="T111" s="41">
        <f t="shared" si="18"/>
        <v>0</v>
      </c>
      <c r="U111" s="41"/>
      <c r="V111" s="44" t="str">
        <f>IF($P111="High",$S111,IF($P111="Mix",SUMIF('High_Low Voltage Mix Summary'!$B$10:$B$17,$B620,'High_Low Voltage Mix Summary'!$D$10:$D$17),""))</f>
        <v/>
      </c>
      <c r="W111" s="44" t="str">
        <f>IF($P111="Low",$S111,IF($P111="Mix",SUMIF('High_Low Voltage Mix Summary'!$B$10:$B$17,$B620,'High_Low Voltage Mix Summary'!$E$10:$E$17),""))</f>
        <v/>
      </c>
      <c r="X111" s="44" t="str">
        <f>IF($P111="High",$T111,IF($P111="Mix",SUMIF('High_Low Voltage Mix Summary'!$B$10:$B$17,$B620,'High_Low Voltage Mix Summary'!$F$10:$F$17),""))</f>
        <v/>
      </c>
      <c r="Y111" s="44" t="str">
        <f>IF($P111="Low",$T111,IF($P111="Mix",SUMIF('High_Low Voltage Mix Summary'!$B$10:$B$17,$B620,'High_Low Voltage Mix Summary'!$G$10:$G$17),""))</f>
        <v/>
      </c>
      <c r="Z111" s="44" t="str">
        <f>IF(OR($P111="High",$P111="Low"),"",IF($P111="Mix",SUMIF('High_Low Voltage Mix Summary'!$B$10:$B$17,$B620,'High_Low Voltage Mix Summary'!$H$10:$H$17),""))</f>
        <v/>
      </c>
      <c r="AB111" s="49">
        <f>SUMIF('Antelope Bailey Split BA'!$B$7:$B$29,B111,'Antelope Bailey Split BA'!$C$7:$C$29)</f>
        <v>0</v>
      </c>
      <c r="AC111" s="49" t="str">
        <f>IF(AND(AB111=1,'Plant Total by Account'!$H$1=2),"EKWRA","")</f>
        <v/>
      </c>
    </row>
    <row r="112" spans="1:29" x14ac:dyDescent="0.2">
      <c r="A112" s="39" t="s">
        <v>2670</v>
      </c>
      <c r="B112" s="40" t="s">
        <v>210</v>
      </c>
      <c r="C112" s="40" t="s">
        <v>3334</v>
      </c>
      <c r="D112" s="53">
        <v>2142.87</v>
      </c>
      <c r="E112" s="53">
        <v>188877.12</v>
      </c>
      <c r="F112" s="53">
        <v>1467204.4200000011</v>
      </c>
      <c r="G112" s="578">
        <f t="shared" si="19"/>
        <v>1658224.4100000011</v>
      </c>
      <c r="H112" s="41"/>
      <c r="I112" s="41"/>
      <c r="J112" s="41"/>
      <c r="K112" s="41">
        <f t="shared" si="21"/>
        <v>2142.87</v>
      </c>
      <c r="L112" s="41">
        <f t="shared" si="22"/>
        <v>188877.12</v>
      </c>
      <c r="M112" s="41">
        <f t="shared" si="23"/>
        <v>1467204.4200000011</v>
      </c>
      <c r="N112" s="363">
        <f t="shared" si="20"/>
        <v>0</v>
      </c>
      <c r="O112" s="43" t="s">
        <v>3309</v>
      </c>
      <c r="P112" s="43"/>
      <c r="R112" s="41">
        <f t="shared" si="16"/>
        <v>0</v>
      </c>
      <c r="S112" s="41">
        <f t="shared" si="17"/>
        <v>0</v>
      </c>
      <c r="T112" s="41">
        <f t="shared" si="18"/>
        <v>0</v>
      </c>
      <c r="U112" s="41"/>
      <c r="V112" s="44" t="str">
        <f>IF($P112="High",$S112,IF($P112="Mix",SUMIF('High_Low Voltage Mix Summary'!$B$10:$B$17,$B73,'High_Low Voltage Mix Summary'!$D$10:$D$17),""))</f>
        <v/>
      </c>
      <c r="W112" s="44" t="str">
        <f>IF($P112="Low",$S112,IF($P112="Mix",SUMIF('High_Low Voltage Mix Summary'!$B$10:$B$17,$B73,'High_Low Voltage Mix Summary'!$E$10:$E$17),""))</f>
        <v/>
      </c>
      <c r="X112" s="44" t="str">
        <f>IF($P112="High",$T112,IF($P112="Mix",SUMIF('High_Low Voltage Mix Summary'!$B$10:$B$17,$B73,'High_Low Voltage Mix Summary'!$F$10:$F$17),""))</f>
        <v/>
      </c>
      <c r="Y112" s="44" t="str">
        <f>IF($P112="Low",$T112,IF($P112="Mix",SUMIF('High_Low Voltage Mix Summary'!$B$10:$B$17,$B73,'High_Low Voltage Mix Summary'!$G$10:$G$17),""))</f>
        <v/>
      </c>
      <c r="Z112" s="44" t="str">
        <f>IF(OR($P112="High",$P112="Low"),"",IF($P112="Mix",SUMIF('High_Low Voltage Mix Summary'!$B$10:$B$17,$B73,'High_Low Voltage Mix Summary'!$H$10:$H$17),""))</f>
        <v/>
      </c>
      <c r="AB112" s="49">
        <f>SUMIF('Antelope Bailey Split BA'!$B$7:$B$29,B112,'Antelope Bailey Split BA'!$C$7:$C$29)</f>
        <v>0</v>
      </c>
      <c r="AC112" s="49" t="str">
        <f>IF(AND(AB112=1,'Plant Total by Account'!$H$1=2),"EKWRA","")</f>
        <v/>
      </c>
    </row>
    <row r="113" spans="1:29" x14ac:dyDescent="0.2">
      <c r="A113" s="39" t="s">
        <v>2671</v>
      </c>
      <c r="B113" s="40" t="s">
        <v>211</v>
      </c>
      <c r="C113" s="40" t="s">
        <v>3334</v>
      </c>
      <c r="D113" s="53">
        <v>246411.62</v>
      </c>
      <c r="E113" s="53">
        <v>123270.47</v>
      </c>
      <c r="F113" s="53">
        <v>2502141.4200000023</v>
      </c>
      <c r="G113" s="578">
        <f t="shared" si="19"/>
        <v>2871823.5100000021</v>
      </c>
      <c r="H113" s="41"/>
      <c r="I113" s="41"/>
      <c r="J113" s="41"/>
      <c r="K113" s="41">
        <f t="shared" si="21"/>
        <v>246411.62</v>
      </c>
      <c r="L113" s="41">
        <f t="shared" si="22"/>
        <v>123270.47</v>
      </c>
      <c r="M113" s="41">
        <f t="shared" si="23"/>
        <v>2502141.4200000023</v>
      </c>
      <c r="N113" s="363">
        <f t="shared" si="20"/>
        <v>0</v>
      </c>
      <c r="O113" s="43" t="s">
        <v>3309</v>
      </c>
      <c r="P113" s="43"/>
      <c r="R113" s="41">
        <f t="shared" si="16"/>
        <v>0</v>
      </c>
      <c r="S113" s="41">
        <f t="shared" si="17"/>
        <v>0</v>
      </c>
      <c r="T113" s="41">
        <f t="shared" si="18"/>
        <v>0</v>
      </c>
      <c r="U113" s="41"/>
      <c r="V113" s="44" t="str">
        <f>IF($P113="High",$S113,IF($P113="Mix",SUMIF('High_Low Voltage Mix Summary'!$B$10:$B$17,$B74,'High_Low Voltage Mix Summary'!$D$10:$D$17),""))</f>
        <v/>
      </c>
      <c r="W113" s="44" t="str">
        <f>IF($P113="Low",$S113,IF($P113="Mix",SUMIF('High_Low Voltage Mix Summary'!$B$10:$B$17,$B74,'High_Low Voltage Mix Summary'!$E$10:$E$17),""))</f>
        <v/>
      </c>
      <c r="X113" s="44" t="str">
        <f>IF($P113="High",$T113,IF($P113="Mix",SUMIF('High_Low Voltage Mix Summary'!$B$10:$B$17,$B74,'High_Low Voltage Mix Summary'!$F$10:$F$17),""))</f>
        <v/>
      </c>
      <c r="Y113" s="44" t="str">
        <f>IF($P113="Low",$T113,IF($P113="Mix",SUMIF('High_Low Voltage Mix Summary'!$B$10:$B$17,$B74,'High_Low Voltage Mix Summary'!$G$10:$G$17),""))</f>
        <v/>
      </c>
      <c r="Z113" s="44" t="str">
        <f>IF(OR($P113="High",$P113="Low"),"",IF($P113="Mix",SUMIF('High_Low Voltage Mix Summary'!$B$10:$B$17,$B74,'High_Low Voltage Mix Summary'!$H$10:$H$17),""))</f>
        <v/>
      </c>
      <c r="AB113" s="49">
        <f>SUMIF('Antelope Bailey Split BA'!$B$7:$B$29,B113,'Antelope Bailey Split BA'!$C$7:$C$29)</f>
        <v>0</v>
      </c>
      <c r="AC113" s="49" t="str">
        <f>IF(AND(AB113=1,'Plant Total by Account'!$H$1=2),"EKWRA","")</f>
        <v/>
      </c>
    </row>
    <row r="114" spans="1:29" x14ac:dyDescent="0.2">
      <c r="A114" s="39" t="s">
        <v>2404</v>
      </c>
      <c r="B114" s="40" t="s">
        <v>212</v>
      </c>
      <c r="C114" s="40" t="s">
        <v>3334</v>
      </c>
      <c r="D114" s="53">
        <v>12791.9</v>
      </c>
      <c r="E114" s="53">
        <v>81570.599999999991</v>
      </c>
      <c r="F114" s="53">
        <v>4596962.1300000027</v>
      </c>
      <c r="G114" s="578">
        <f t="shared" si="19"/>
        <v>4691324.6300000027</v>
      </c>
      <c r="H114" s="41"/>
      <c r="I114" s="41"/>
      <c r="J114" s="41"/>
      <c r="K114" s="41">
        <f t="shared" si="21"/>
        <v>12791.9</v>
      </c>
      <c r="L114" s="41">
        <f t="shared" si="22"/>
        <v>81570.599999999991</v>
      </c>
      <c r="M114" s="41">
        <f t="shared" si="23"/>
        <v>4596962.1300000027</v>
      </c>
      <c r="N114" s="363">
        <f t="shared" si="20"/>
        <v>0</v>
      </c>
      <c r="O114" s="43" t="s">
        <v>3309</v>
      </c>
      <c r="P114" s="43"/>
      <c r="R114" s="41">
        <f t="shared" si="16"/>
        <v>0</v>
      </c>
      <c r="S114" s="41">
        <f t="shared" si="17"/>
        <v>0</v>
      </c>
      <c r="T114" s="41">
        <f t="shared" si="18"/>
        <v>0</v>
      </c>
      <c r="U114" s="41"/>
      <c r="V114" s="44" t="str">
        <f>IF($P114="High",$S114,IF($P114="Mix",SUMIF('High_Low Voltage Mix Summary'!$B$10:$B$17,$B75,'High_Low Voltage Mix Summary'!$D$10:$D$17),""))</f>
        <v/>
      </c>
      <c r="W114" s="44" t="str">
        <f>IF($P114="Low",$S114,IF($P114="Mix",SUMIF('High_Low Voltage Mix Summary'!$B$10:$B$17,$B75,'High_Low Voltage Mix Summary'!$E$10:$E$17),""))</f>
        <v/>
      </c>
      <c r="X114" s="44" t="str">
        <f>IF($P114="High",$T114,IF($P114="Mix",SUMIF('High_Low Voltage Mix Summary'!$B$10:$B$17,$B75,'High_Low Voltage Mix Summary'!$F$10:$F$17),""))</f>
        <v/>
      </c>
      <c r="Y114" s="44" t="str">
        <f>IF($P114="Low",$T114,IF($P114="Mix",SUMIF('High_Low Voltage Mix Summary'!$B$10:$B$17,$B75,'High_Low Voltage Mix Summary'!$G$10:$G$17),""))</f>
        <v/>
      </c>
      <c r="Z114" s="44" t="str">
        <f>IF(OR($P114="High",$P114="Low"),"",IF($P114="Mix",SUMIF('High_Low Voltage Mix Summary'!$B$10:$B$17,$B75,'High_Low Voltage Mix Summary'!$H$10:$H$17),""))</f>
        <v/>
      </c>
      <c r="AB114" s="49">
        <f>SUMIF('Antelope Bailey Split BA'!$B$7:$B$29,B114,'Antelope Bailey Split BA'!$C$7:$C$29)</f>
        <v>0</v>
      </c>
      <c r="AC114" s="49" t="str">
        <f>IF(AND(AB114=1,'Plant Total by Account'!$H$1=2),"EKWRA","")</f>
        <v/>
      </c>
    </row>
    <row r="115" spans="1:29" x14ac:dyDescent="0.2">
      <c r="A115" s="39" t="s">
        <v>2672</v>
      </c>
      <c r="B115" s="40" t="s">
        <v>213</v>
      </c>
      <c r="C115" s="40" t="s">
        <v>3334</v>
      </c>
      <c r="D115" s="53">
        <v>6711.97</v>
      </c>
      <c r="E115" s="53">
        <v>90059.17</v>
      </c>
      <c r="F115" s="53">
        <v>1332769.6400000006</v>
      </c>
      <c r="G115" s="578">
        <f t="shared" si="19"/>
        <v>1429540.7800000005</v>
      </c>
      <c r="H115" s="41"/>
      <c r="I115" s="41"/>
      <c r="J115" s="41"/>
      <c r="K115" s="41">
        <f t="shared" si="21"/>
        <v>6711.97</v>
      </c>
      <c r="L115" s="41">
        <f t="shared" si="22"/>
        <v>90059.17</v>
      </c>
      <c r="M115" s="41">
        <f t="shared" si="23"/>
        <v>1332769.6400000006</v>
      </c>
      <c r="N115" s="363">
        <f t="shared" si="20"/>
        <v>0</v>
      </c>
      <c r="O115" s="43" t="s">
        <v>3309</v>
      </c>
      <c r="P115" s="43"/>
      <c r="R115" s="41">
        <f t="shared" si="16"/>
        <v>0</v>
      </c>
      <c r="S115" s="41">
        <f t="shared" si="17"/>
        <v>0</v>
      </c>
      <c r="T115" s="41">
        <f t="shared" si="18"/>
        <v>0</v>
      </c>
      <c r="U115" s="41"/>
      <c r="V115" s="44" t="str">
        <f>IF($P115="High",$S115,IF($P115="Mix",SUMIF('High_Low Voltage Mix Summary'!$B$10:$B$17,$B78,'High_Low Voltage Mix Summary'!$D$10:$D$17),""))</f>
        <v/>
      </c>
      <c r="W115" s="44" t="str">
        <f>IF($P115="Low",$S115,IF($P115="Mix",SUMIF('High_Low Voltage Mix Summary'!$B$10:$B$17,$B78,'High_Low Voltage Mix Summary'!$E$10:$E$17),""))</f>
        <v/>
      </c>
      <c r="X115" s="44" t="str">
        <f>IF($P115="High",$T115,IF($P115="Mix",SUMIF('High_Low Voltage Mix Summary'!$B$10:$B$17,$B78,'High_Low Voltage Mix Summary'!$F$10:$F$17),""))</f>
        <v/>
      </c>
      <c r="Y115" s="44" t="str">
        <f>IF($P115="Low",$T115,IF($P115="Mix",SUMIF('High_Low Voltage Mix Summary'!$B$10:$B$17,$B78,'High_Low Voltage Mix Summary'!$G$10:$G$17),""))</f>
        <v/>
      </c>
      <c r="Z115" s="44" t="str">
        <f>IF(OR($P115="High",$P115="Low"),"",IF($P115="Mix",SUMIF('High_Low Voltage Mix Summary'!$B$10:$B$17,$B78,'High_Low Voltage Mix Summary'!$H$10:$H$17),""))</f>
        <v/>
      </c>
      <c r="AB115" s="49">
        <f>SUMIF('Antelope Bailey Split BA'!$B$7:$B$29,B115,'Antelope Bailey Split BA'!$C$7:$C$29)</f>
        <v>0</v>
      </c>
      <c r="AC115" s="49" t="str">
        <f>IF(AND(AB115=1,'Plant Total by Account'!$H$1=2),"EKWRA","")</f>
        <v/>
      </c>
    </row>
    <row r="116" spans="1:29" x14ac:dyDescent="0.2">
      <c r="A116" s="39" t="s">
        <v>2673</v>
      </c>
      <c r="B116" s="40" t="s">
        <v>214</v>
      </c>
      <c r="C116" s="40" t="s">
        <v>3333</v>
      </c>
      <c r="D116" s="53">
        <v>3835.12</v>
      </c>
      <c r="E116" s="53">
        <v>29520.95</v>
      </c>
      <c r="F116" s="53">
        <v>1666336.39</v>
      </c>
      <c r="G116" s="578">
        <f t="shared" si="19"/>
        <v>1699692.46</v>
      </c>
      <c r="H116" s="41"/>
      <c r="I116" s="41"/>
      <c r="J116" s="41"/>
      <c r="K116" s="41">
        <f t="shared" si="21"/>
        <v>3835.12</v>
      </c>
      <c r="L116" s="41">
        <f t="shared" si="22"/>
        <v>29520.95</v>
      </c>
      <c r="M116" s="41">
        <f t="shared" si="23"/>
        <v>1666336.39</v>
      </c>
      <c r="N116" s="363">
        <f t="shared" si="20"/>
        <v>0</v>
      </c>
      <c r="O116" s="43" t="s">
        <v>3309</v>
      </c>
      <c r="P116" s="43"/>
      <c r="R116" s="41">
        <f t="shared" si="16"/>
        <v>0</v>
      </c>
      <c r="S116" s="41">
        <f t="shared" si="17"/>
        <v>0</v>
      </c>
      <c r="T116" s="41">
        <f t="shared" si="18"/>
        <v>0</v>
      </c>
      <c r="U116" s="41"/>
      <c r="V116" s="44" t="str">
        <f>IF($P116="High",$S116,IF($P116="Mix",SUMIF('High_Low Voltage Mix Summary'!$B$10:$B$17,$B80,'High_Low Voltage Mix Summary'!$D$10:$D$17),""))</f>
        <v/>
      </c>
      <c r="W116" s="44" t="str">
        <f>IF($P116="Low",$S116,IF($P116="Mix",SUMIF('High_Low Voltage Mix Summary'!$B$10:$B$17,$B80,'High_Low Voltage Mix Summary'!$E$10:$E$17),""))</f>
        <v/>
      </c>
      <c r="X116" s="44" t="str">
        <f>IF($P116="High",$T116,IF($P116="Mix",SUMIF('High_Low Voltage Mix Summary'!$B$10:$B$17,$B80,'High_Low Voltage Mix Summary'!$F$10:$F$17),""))</f>
        <v/>
      </c>
      <c r="Y116" s="44" t="str">
        <f>IF($P116="Low",$T116,IF($P116="Mix",SUMIF('High_Low Voltage Mix Summary'!$B$10:$B$17,$B80,'High_Low Voltage Mix Summary'!$G$10:$G$17),""))</f>
        <v/>
      </c>
      <c r="Z116" s="44" t="str">
        <f>IF(OR($P116="High",$P116="Low"),"",IF($P116="Mix",SUMIF('High_Low Voltage Mix Summary'!$B$10:$B$17,$B80,'High_Low Voltage Mix Summary'!$H$10:$H$17),""))</f>
        <v/>
      </c>
      <c r="AB116" s="49">
        <f>SUMIF('Antelope Bailey Split BA'!$B$7:$B$29,B116,'Antelope Bailey Split BA'!$C$7:$C$29)</f>
        <v>0</v>
      </c>
      <c r="AC116" s="49" t="str">
        <f>IF(AND(AB116=1,'Plant Total by Account'!$H$1=2),"EKWRA","")</f>
        <v/>
      </c>
    </row>
    <row r="117" spans="1:29" x14ac:dyDescent="0.2">
      <c r="A117" s="39" t="s">
        <v>2674</v>
      </c>
      <c r="B117" s="40" t="s">
        <v>215</v>
      </c>
      <c r="C117" s="40" t="s">
        <v>3333</v>
      </c>
      <c r="D117" s="53">
        <v>675.66000000000008</v>
      </c>
      <c r="E117" s="53">
        <v>10231.219999999999</v>
      </c>
      <c r="F117" s="53">
        <v>688622.73000000021</v>
      </c>
      <c r="G117" s="578">
        <f t="shared" si="19"/>
        <v>699529.61000000022</v>
      </c>
      <c r="H117" s="41"/>
      <c r="I117" s="41"/>
      <c r="J117" s="41"/>
      <c r="K117" s="41">
        <f t="shared" si="21"/>
        <v>675.66000000000008</v>
      </c>
      <c r="L117" s="41">
        <f t="shared" si="22"/>
        <v>10231.219999999999</v>
      </c>
      <c r="M117" s="41">
        <f t="shared" si="23"/>
        <v>688622.73000000021</v>
      </c>
      <c r="N117" s="363">
        <f t="shared" si="20"/>
        <v>0</v>
      </c>
      <c r="O117" s="43" t="s">
        <v>3309</v>
      </c>
      <c r="P117" s="43"/>
      <c r="R117" s="41">
        <f t="shared" si="16"/>
        <v>0</v>
      </c>
      <c r="S117" s="41">
        <f t="shared" si="17"/>
        <v>0</v>
      </c>
      <c r="T117" s="41">
        <f t="shared" si="18"/>
        <v>0</v>
      </c>
      <c r="U117" s="41"/>
      <c r="V117" s="44" t="str">
        <f>IF($P117="High",$S117,IF($P117="Mix",SUMIF('High_Low Voltage Mix Summary'!$B$10:$B$17,$B621,'High_Low Voltage Mix Summary'!$D$10:$D$17),""))</f>
        <v/>
      </c>
      <c r="W117" s="44" t="str">
        <f>IF($P117="Low",$S117,IF($P117="Mix",SUMIF('High_Low Voltage Mix Summary'!$B$10:$B$17,$B621,'High_Low Voltage Mix Summary'!$E$10:$E$17),""))</f>
        <v/>
      </c>
      <c r="X117" s="44" t="str">
        <f>IF($P117="High",$T117,IF($P117="Mix",SUMIF('High_Low Voltage Mix Summary'!$B$10:$B$17,$B621,'High_Low Voltage Mix Summary'!$F$10:$F$17),""))</f>
        <v/>
      </c>
      <c r="Y117" s="44" t="str">
        <f>IF($P117="Low",$T117,IF($P117="Mix",SUMIF('High_Low Voltage Mix Summary'!$B$10:$B$17,$B621,'High_Low Voltage Mix Summary'!$G$10:$G$17),""))</f>
        <v/>
      </c>
      <c r="Z117" s="44" t="str">
        <f>IF(OR($P117="High",$P117="Low"),"",IF($P117="Mix",SUMIF('High_Low Voltage Mix Summary'!$B$10:$B$17,$B621,'High_Low Voltage Mix Summary'!$H$10:$H$17),""))</f>
        <v/>
      </c>
      <c r="AB117" s="49">
        <f>SUMIF('Antelope Bailey Split BA'!$B$7:$B$29,B117,'Antelope Bailey Split BA'!$C$7:$C$29)</f>
        <v>0</v>
      </c>
      <c r="AC117" s="49" t="str">
        <f>IF(AND(AB117=1,'Plant Total by Account'!$H$1=2),"EKWRA","")</f>
        <v/>
      </c>
    </row>
    <row r="118" spans="1:29" x14ac:dyDescent="0.2">
      <c r="A118" s="39" t="s">
        <v>2675</v>
      </c>
      <c r="B118" s="40" t="s">
        <v>216</v>
      </c>
      <c r="C118" s="40" t="s">
        <v>3333</v>
      </c>
      <c r="D118" s="53">
        <v>17347.28</v>
      </c>
      <c r="E118" s="53">
        <v>26832.49</v>
      </c>
      <c r="F118" s="53">
        <v>768949.7200000002</v>
      </c>
      <c r="G118" s="578">
        <f t="shared" si="19"/>
        <v>813129.49000000022</v>
      </c>
      <c r="H118" s="41"/>
      <c r="I118" s="41"/>
      <c r="J118" s="41"/>
      <c r="K118" s="41">
        <f t="shared" si="21"/>
        <v>17347.28</v>
      </c>
      <c r="L118" s="41">
        <f t="shared" si="22"/>
        <v>26832.49</v>
      </c>
      <c r="M118" s="41">
        <f t="shared" si="23"/>
        <v>768949.7200000002</v>
      </c>
      <c r="N118" s="363">
        <f t="shared" si="20"/>
        <v>0</v>
      </c>
      <c r="O118" s="43" t="s">
        <v>3309</v>
      </c>
      <c r="P118" s="43"/>
      <c r="R118" s="41">
        <f t="shared" si="16"/>
        <v>0</v>
      </c>
      <c r="S118" s="41">
        <f t="shared" si="17"/>
        <v>0</v>
      </c>
      <c r="T118" s="41">
        <f t="shared" si="18"/>
        <v>0</v>
      </c>
      <c r="U118" s="41"/>
      <c r="V118" s="44" t="str">
        <f>IF($P118="High",$S118,IF($P118="Mix",SUMIF('High_Low Voltage Mix Summary'!$B$10:$B$17,$B622,'High_Low Voltage Mix Summary'!$D$10:$D$17),""))</f>
        <v/>
      </c>
      <c r="W118" s="44" t="str">
        <f>IF($P118="Low",$S118,IF($P118="Mix",SUMIF('High_Low Voltage Mix Summary'!$B$10:$B$17,$B622,'High_Low Voltage Mix Summary'!$E$10:$E$17),""))</f>
        <v/>
      </c>
      <c r="X118" s="44" t="str">
        <f>IF($P118="High",$T118,IF($P118="Mix",SUMIF('High_Low Voltage Mix Summary'!$B$10:$B$17,$B622,'High_Low Voltage Mix Summary'!$F$10:$F$17),""))</f>
        <v/>
      </c>
      <c r="Y118" s="44" t="str">
        <f>IF($P118="Low",$T118,IF($P118="Mix",SUMIF('High_Low Voltage Mix Summary'!$B$10:$B$17,$B622,'High_Low Voltage Mix Summary'!$G$10:$G$17),""))</f>
        <v/>
      </c>
      <c r="Z118" s="44" t="str">
        <f>IF(OR($P118="High",$P118="Low"),"",IF($P118="Mix",SUMIF('High_Low Voltage Mix Summary'!$B$10:$B$17,$B622,'High_Low Voltage Mix Summary'!$H$10:$H$17),""))</f>
        <v/>
      </c>
      <c r="AB118" s="49">
        <f>SUMIF('Antelope Bailey Split BA'!$B$7:$B$29,B118,'Antelope Bailey Split BA'!$C$7:$C$29)</f>
        <v>0</v>
      </c>
      <c r="AC118" s="49" t="str">
        <f>IF(AND(AB118=1,'Plant Total by Account'!$H$1=2),"EKWRA","")</f>
        <v/>
      </c>
    </row>
    <row r="119" spans="1:29" x14ac:dyDescent="0.2">
      <c r="A119" s="39" t="s">
        <v>2676</v>
      </c>
      <c r="B119" s="40" t="s">
        <v>217</v>
      </c>
      <c r="C119" s="40" t="s">
        <v>3333</v>
      </c>
      <c r="D119" s="53">
        <v>4514.24</v>
      </c>
      <c r="E119" s="53">
        <v>43432.689999999995</v>
      </c>
      <c r="F119" s="53">
        <v>1633119.2199999995</v>
      </c>
      <c r="G119" s="578">
        <f t="shared" si="19"/>
        <v>1681066.1499999994</v>
      </c>
      <c r="H119" s="41"/>
      <c r="I119" s="41"/>
      <c r="J119" s="41"/>
      <c r="K119" s="41">
        <f t="shared" si="21"/>
        <v>4514.24</v>
      </c>
      <c r="L119" s="41">
        <f t="shared" si="22"/>
        <v>43432.689999999995</v>
      </c>
      <c r="M119" s="41">
        <f t="shared" si="23"/>
        <v>1633119.2199999995</v>
      </c>
      <c r="N119" s="363">
        <f t="shared" si="20"/>
        <v>0</v>
      </c>
      <c r="O119" s="43" t="s">
        <v>3309</v>
      </c>
      <c r="P119" s="43"/>
      <c r="R119" s="41">
        <f t="shared" si="16"/>
        <v>0</v>
      </c>
      <c r="S119" s="41">
        <f t="shared" si="17"/>
        <v>0</v>
      </c>
      <c r="T119" s="41">
        <f t="shared" si="18"/>
        <v>0</v>
      </c>
      <c r="U119" s="41"/>
      <c r="V119" s="44" t="str">
        <f>IF($P119="High",$S119,IF($P119="Mix",SUMIF('High_Low Voltage Mix Summary'!$B$10:$B$17,$B623,'High_Low Voltage Mix Summary'!$D$10:$D$17),""))</f>
        <v/>
      </c>
      <c r="W119" s="44" t="str">
        <f>IF($P119="Low",$S119,IF($P119="Mix",SUMIF('High_Low Voltage Mix Summary'!$B$10:$B$17,$B623,'High_Low Voltage Mix Summary'!$E$10:$E$17),""))</f>
        <v/>
      </c>
      <c r="X119" s="44" t="str">
        <f>IF($P119="High",$T119,IF($P119="Mix",SUMIF('High_Low Voltage Mix Summary'!$B$10:$B$17,$B623,'High_Low Voltage Mix Summary'!$F$10:$F$17),""))</f>
        <v/>
      </c>
      <c r="Y119" s="44" t="str">
        <f>IF($P119="Low",$T119,IF($P119="Mix",SUMIF('High_Low Voltage Mix Summary'!$B$10:$B$17,$B623,'High_Low Voltage Mix Summary'!$G$10:$G$17),""))</f>
        <v/>
      </c>
      <c r="Z119" s="44" t="str">
        <f>IF(OR($P119="High",$P119="Low"),"",IF($P119="Mix",SUMIF('High_Low Voltage Mix Summary'!$B$10:$B$17,$B623,'High_Low Voltage Mix Summary'!$H$10:$H$17),""))</f>
        <v/>
      </c>
      <c r="AB119" s="49">
        <f>SUMIF('Antelope Bailey Split BA'!$B$7:$B$29,B119,'Antelope Bailey Split BA'!$C$7:$C$29)</f>
        <v>0</v>
      </c>
      <c r="AC119" s="49" t="str">
        <f>IF(AND(AB119=1,'Plant Total by Account'!$H$1=2),"EKWRA","")</f>
        <v/>
      </c>
    </row>
    <row r="120" spans="1:29" x14ac:dyDescent="0.2">
      <c r="A120" s="39" t="s">
        <v>2677</v>
      </c>
      <c r="B120" s="40" t="s">
        <v>218</v>
      </c>
      <c r="C120" s="40" t="s">
        <v>3334</v>
      </c>
      <c r="D120" s="53">
        <v>36627.130000000005</v>
      </c>
      <c r="E120" s="53">
        <v>2876.2400000000002</v>
      </c>
      <c r="F120" s="53">
        <v>583834.14999999991</v>
      </c>
      <c r="G120" s="578">
        <f t="shared" si="19"/>
        <v>623337.5199999999</v>
      </c>
      <c r="H120" s="41"/>
      <c r="I120" s="41"/>
      <c r="J120" s="41"/>
      <c r="K120" s="41">
        <f t="shared" si="21"/>
        <v>36627.130000000005</v>
      </c>
      <c r="L120" s="41">
        <f t="shared" si="22"/>
        <v>2876.2400000000002</v>
      </c>
      <c r="M120" s="41">
        <f t="shared" si="23"/>
        <v>583834.14999999991</v>
      </c>
      <c r="N120" s="363">
        <f t="shared" si="20"/>
        <v>0</v>
      </c>
      <c r="O120" s="43" t="s">
        <v>3309</v>
      </c>
      <c r="P120" s="43"/>
      <c r="R120" s="41">
        <f t="shared" si="16"/>
        <v>0</v>
      </c>
      <c r="S120" s="41">
        <f t="shared" si="17"/>
        <v>0</v>
      </c>
      <c r="T120" s="41">
        <f t="shared" si="18"/>
        <v>0</v>
      </c>
      <c r="U120" s="41"/>
      <c r="V120" s="44" t="str">
        <f>IF($P120="High",$S120,IF($P120="Mix",SUMIF('High_Low Voltage Mix Summary'!$B$10:$B$17,$B624,'High_Low Voltage Mix Summary'!$D$10:$D$17),""))</f>
        <v/>
      </c>
      <c r="W120" s="44" t="str">
        <f>IF($P120="Low",$S120,IF($P120="Mix",SUMIF('High_Low Voltage Mix Summary'!$B$10:$B$17,$B624,'High_Low Voltage Mix Summary'!$E$10:$E$17),""))</f>
        <v/>
      </c>
      <c r="X120" s="44" t="str">
        <f>IF($P120="High",$T120,IF($P120="Mix",SUMIF('High_Low Voltage Mix Summary'!$B$10:$B$17,$B624,'High_Low Voltage Mix Summary'!$F$10:$F$17),""))</f>
        <v/>
      </c>
      <c r="Y120" s="44" t="str">
        <f>IF($P120="Low",$T120,IF($P120="Mix",SUMIF('High_Low Voltage Mix Summary'!$B$10:$B$17,$B624,'High_Low Voltage Mix Summary'!$G$10:$G$17),""))</f>
        <v/>
      </c>
      <c r="Z120" s="44" t="str">
        <f>IF(OR($P120="High",$P120="Low"),"",IF($P120="Mix",SUMIF('High_Low Voltage Mix Summary'!$B$10:$B$17,$B624,'High_Low Voltage Mix Summary'!$H$10:$H$17),""))</f>
        <v/>
      </c>
      <c r="AB120" s="49">
        <f>SUMIF('Antelope Bailey Split BA'!$B$7:$B$29,B120,'Antelope Bailey Split BA'!$C$7:$C$29)</f>
        <v>0</v>
      </c>
      <c r="AC120" s="49" t="str">
        <f>IF(AND(AB120=1,'Plant Total by Account'!$H$1=2),"EKWRA","")</f>
        <v/>
      </c>
    </row>
    <row r="121" spans="1:29" x14ac:dyDescent="0.2">
      <c r="A121" s="39" t="s">
        <v>2678</v>
      </c>
      <c r="B121" s="40" t="s">
        <v>219</v>
      </c>
      <c r="C121" s="40" t="s">
        <v>3334</v>
      </c>
      <c r="D121" s="53">
        <v>0</v>
      </c>
      <c r="E121" s="53">
        <v>36391.620000000003</v>
      </c>
      <c r="F121" s="53">
        <v>418219.15999999992</v>
      </c>
      <c r="G121" s="578">
        <f t="shared" si="19"/>
        <v>454610.77999999991</v>
      </c>
      <c r="H121" s="41"/>
      <c r="I121" s="41"/>
      <c r="J121" s="41"/>
      <c r="K121" s="41">
        <f t="shared" si="21"/>
        <v>0</v>
      </c>
      <c r="L121" s="41">
        <f t="shared" si="22"/>
        <v>36391.620000000003</v>
      </c>
      <c r="M121" s="41">
        <f t="shared" si="23"/>
        <v>418219.15999999992</v>
      </c>
      <c r="N121" s="363">
        <f t="shared" si="20"/>
        <v>0</v>
      </c>
      <c r="O121" s="43" t="s">
        <v>3309</v>
      </c>
      <c r="P121" s="43"/>
      <c r="R121" s="41">
        <f t="shared" si="16"/>
        <v>0</v>
      </c>
      <c r="S121" s="41">
        <f t="shared" si="17"/>
        <v>0</v>
      </c>
      <c r="T121" s="41">
        <f t="shared" si="18"/>
        <v>0</v>
      </c>
      <c r="U121" s="41"/>
      <c r="V121" s="44" t="str">
        <f>IF($P121="High",$S121,IF($P121="Mix",SUMIF('High_Low Voltage Mix Summary'!$B$10:$B$17,$B81,'High_Low Voltage Mix Summary'!$D$10:$D$17),""))</f>
        <v/>
      </c>
      <c r="W121" s="44" t="str">
        <f>IF($P121="Low",$S121,IF($P121="Mix",SUMIF('High_Low Voltage Mix Summary'!$B$10:$B$17,$B81,'High_Low Voltage Mix Summary'!$E$10:$E$17),""))</f>
        <v/>
      </c>
      <c r="X121" s="44" t="str">
        <f>IF($P121="High",$T121,IF($P121="Mix",SUMIF('High_Low Voltage Mix Summary'!$B$10:$B$17,$B81,'High_Low Voltage Mix Summary'!$F$10:$F$17),""))</f>
        <v/>
      </c>
      <c r="Y121" s="44" t="str">
        <f>IF($P121="Low",$T121,IF($P121="Mix",SUMIF('High_Low Voltage Mix Summary'!$B$10:$B$17,$B81,'High_Low Voltage Mix Summary'!$G$10:$G$17),""))</f>
        <v/>
      </c>
      <c r="Z121" s="44" t="str">
        <f>IF(OR($P121="High",$P121="Low"),"",IF($P121="Mix",SUMIF('High_Low Voltage Mix Summary'!$B$10:$B$17,$B81,'High_Low Voltage Mix Summary'!$H$10:$H$17),""))</f>
        <v/>
      </c>
      <c r="AB121" s="49">
        <f>SUMIF('Antelope Bailey Split BA'!$B$7:$B$29,B121,'Antelope Bailey Split BA'!$C$7:$C$29)</f>
        <v>0</v>
      </c>
      <c r="AC121" s="49" t="str">
        <f>IF(AND(AB121=1,'Plant Total by Account'!$H$1=2),"EKWRA","")</f>
        <v/>
      </c>
    </row>
    <row r="122" spans="1:29" x14ac:dyDescent="0.2">
      <c r="A122" s="39" t="s">
        <v>2679</v>
      </c>
      <c r="B122" s="40" t="s">
        <v>220</v>
      </c>
      <c r="C122" s="40" t="s">
        <v>3334</v>
      </c>
      <c r="D122" s="53">
        <v>11866.41</v>
      </c>
      <c r="E122" s="53">
        <v>34056.240000000005</v>
      </c>
      <c r="F122" s="53">
        <v>455234.83</v>
      </c>
      <c r="G122" s="578">
        <f t="shared" si="19"/>
        <v>501157.48000000004</v>
      </c>
      <c r="H122" s="41"/>
      <c r="I122" s="41"/>
      <c r="J122" s="41"/>
      <c r="K122" s="41">
        <f t="shared" si="21"/>
        <v>11866.41</v>
      </c>
      <c r="L122" s="41">
        <f t="shared" si="22"/>
        <v>34056.240000000005</v>
      </c>
      <c r="M122" s="41">
        <f t="shared" si="23"/>
        <v>455234.83</v>
      </c>
      <c r="N122" s="363">
        <f t="shared" si="20"/>
        <v>0</v>
      </c>
      <c r="O122" s="43" t="s">
        <v>3309</v>
      </c>
      <c r="P122" s="43"/>
      <c r="R122" s="41">
        <f t="shared" si="16"/>
        <v>0</v>
      </c>
      <c r="S122" s="41">
        <f t="shared" si="17"/>
        <v>0</v>
      </c>
      <c r="T122" s="41">
        <f t="shared" si="18"/>
        <v>0</v>
      </c>
      <c r="U122" s="41"/>
      <c r="V122" s="44" t="str">
        <f>IF($P122="High",$S122,IF($P122="Mix",SUMIF('High_Low Voltage Mix Summary'!$B$10:$B$17,$B82,'High_Low Voltage Mix Summary'!$D$10:$D$17),""))</f>
        <v/>
      </c>
      <c r="W122" s="44" t="str">
        <f>IF($P122="Low",$S122,IF($P122="Mix",SUMIF('High_Low Voltage Mix Summary'!$B$10:$B$17,$B82,'High_Low Voltage Mix Summary'!$E$10:$E$17),""))</f>
        <v/>
      </c>
      <c r="X122" s="44" t="str">
        <f>IF($P122="High",$T122,IF($P122="Mix",SUMIF('High_Low Voltage Mix Summary'!$B$10:$B$17,$B82,'High_Low Voltage Mix Summary'!$F$10:$F$17),""))</f>
        <v/>
      </c>
      <c r="Y122" s="44" t="str">
        <f>IF($P122="Low",$T122,IF($P122="Mix",SUMIF('High_Low Voltage Mix Summary'!$B$10:$B$17,$B82,'High_Low Voltage Mix Summary'!$G$10:$G$17),""))</f>
        <v/>
      </c>
      <c r="Z122" s="44" t="str">
        <f>IF(OR($P122="High",$P122="Low"),"",IF($P122="Mix",SUMIF('High_Low Voltage Mix Summary'!$B$10:$B$17,$B82,'High_Low Voltage Mix Summary'!$H$10:$H$17),""))</f>
        <v/>
      </c>
      <c r="AB122" s="49">
        <f>SUMIF('Antelope Bailey Split BA'!$B$7:$B$29,B122,'Antelope Bailey Split BA'!$C$7:$C$29)</f>
        <v>0</v>
      </c>
      <c r="AC122" s="49" t="str">
        <f>IF(AND(AB122=1,'Plant Total by Account'!$H$1=2),"EKWRA","")</f>
        <v/>
      </c>
    </row>
    <row r="123" spans="1:29" x14ac:dyDescent="0.2">
      <c r="A123" s="39" t="s">
        <v>2405</v>
      </c>
      <c r="B123" s="40" t="s">
        <v>221</v>
      </c>
      <c r="C123" s="40" t="s">
        <v>3333</v>
      </c>
      <c r="D123" s="53">
        <v>11359.86</v>
      </c>
      <c r="E123" s="53">
        <v>30926.010000000002</v>
      </c>
      <c r="F123" s="53">
        <v>742845.01999999979</v>
      </c>
      <c r="G123" s="578">
        <f t="shared" si="19"/>
        <v>785130.88999999978</v>
      </c>
      <c r="H123" s="41"/>
      <c r="I123" s="41"/>
      <c r="J123" s="41"/>
      <c r="K123" s="41">
        <f t="shared" si="21"/>
        <v>11359.86</v>
      </c>
      <c r="L123" s="41">
        <f t="shared" si="22"/>
        <v>30926.010000000002</v>
      </c>
      <c r="M123" s="41">
        <f t="shared" si="23"/>
        <v>742845.01999999979</v>
      </c>
      <c r="N123" s="363">
        <f t="shared" si="20"/>
        <v>0</v>
      </c>
      <c r="O123" s="43" t="s">
        <v>3309</v>
      </c>
      <c r="P123" s="43"/>
      <c r="R123" s="41">
        <f t="shared" si="16"/>
        <v>0</v>
      </c>
      <c r="S123" s="41">
        <f t="shared" si="17"/>
        <v>0</v>
      </c>
      <c r="T123" s="41">
        <f t="shared" si="18"/>
        <v>0</v>
      </c>
      <c r="U123" s="41"/>
      <c r="V123" s="44" t="str">
        <f>IF($P123="High",$S123,IF($P123="Mix",SUMIF('High_Low Voltage Mix Summary'!$B$10:$B$17,$B83,'High_Low Voltage Mix Summary'!$D$10:$D$17),""))</f>
        <v/>
      </c>
      <c r="W123" s="44" t="str">
        <f>IF($P123="Low",$S123,IF($P123="Mix",SUMIF('High_Low Voltage Mix Summary'!$B$10:$B$17,$B83,'High_Low Voltage Mix Summary'!$E$10:$E$17),""))</f>
        <v/>
      </c>
      <c r="X123" s="44" t="str">
        <f>IF($P123="High",$T123,IF($P123="Mix",SUMIF('High_Low Voltage Mix Summary'!$B$10:$B$17,$B83,'High_Low Voltage Mix Summary'!$F$10:$F$17),""))</f>
        <v/>
      </c>
      <c r="Y123" s="44" t="str">
        <f>IF($P123="Low",$T123,IF($P123="Mix",SUMIF('High_Low Voltage Mix Summary'!$B$10:$B$17,$B83,'High_Low Voltage Mix Summary'!$G$10:$G$17),""))</f>
        <v/>
      </c>
      <c r="Z123" s="44" t="str">
        <f>IF(OR($P123="High",$P123="Low"),"",IF($P123="Mix",SUMIF('High_Low Voltage Mix Summary'!$B$10:$B$17,$B83,'High_Low Voltage Mix Summary'!$H$10:$H$17),""))</f>
        <v/>
      </c>
      <c r="AB123" s="49">
        <f>SUMIF('Antelope Bailey Split BA'!$B$7:$B$29,B123,'Antelope Bailey Split BA'!$C$7:$C$29)</f>
        <v>0</v>
      </c>
      <c r="AC123" s="49" t="str">
        <f>IF(AND(AB123=1,'Plant Total by Account'!$H$1=2),"EKWRA","")</f>
        <v/>
      </c>
    </row>
    <row r="124" spans="1:29" x14ac:dyDescent="0.2">
      <c r="A124" s="39" t="s">
        <v>2680</v>
      </c>
      <c r="B124" s="40" t="s">
        <v>222</v>
      </c>
      <c r="C124" s="40" t="s">
        <v>3333</v>
      </c>
      <c r="D124" s="53">
        <v>8899.27</v>
      </c>
      <c r="E124" s="53">
        <v>23105.079999999994</v>
      </c>
      <c r="F124" s="53">
        <v>1001630.29</v>
      </c>
      <c r="G124" s="578">
        <f t="shared" si="19"/>
        <v>1033634.64</v>
      </c>
      <c r="H124" s="41"/>
      <c r="I124" s="41"/>
      <c r="J124" s="41"/>
      <c r="K124" s="41">
        <f t="shared" si="21"/>
        <v>8899.27</v>
      </c>
      <c r="L124" s="41">
        <f t="shared" si="22"/>
        <v>23105.079999999994</v>
      </c>
      <c r="M124" s="41">
        <f t="shared" si="23"/>
        <v>1001630.29</v>
      </c>
      <c r="N124" s="363">
        <f t="shared" si="20"/>
        <v>0</v>
      </c>
      <c r="O124" s="43" t="s">
        <v>3309</v>
      </c>
      <c r="P124" s="43"/>
      <c r="R124" s="41">
        <f t="shared" si="16"/>
        <v>0</v>
      </c>
      <c r="S124" s="41">
        <f t="shared" si="17"/>
        <v>0</v>
      </c>
      <c r="T124" s="41">
        <f t="shared" si="18"/>
        <v>0</v>
      </c>
      <c r="U124" s="41"/>
      <c r="V124" s="44" t="str">
        <f>IF($P124="High",$S124,IF($P124="Mix",SUMIF('High_Low Voltage Mix Summary'!$B$10:$B$17,$B625,'High_Low Voltage Mix Summary'!$D$10:$D$17),""))</f>
        <v/>
      </c>
      <c r="W124" s="44" t="str">
        <f>IF($P124="Low",$S124,IF($P124="Mix",SUMIF('High_Low Voltage Mix Summary'!$B$10:$B$17,$B625,'High_Low Voltage Mix Summary'!$E$10:$E$17),""))</f>
        <v/>
      </c>
      <c r="X124" s="44" t="str">
        <f>IF($P124="High",$T124,IF($P124="Mix",SUMIF('High_Low Voltage Mix Summary'!$B$10:$B$17,$B625,'High_Low Voltage Mix Summary'!$F$10:$F$17),""))</f>
        <v/>
      </c>
      <c r="Y124" s="44" t="str">
        <f>IF($P124="Low",$T124,IF($P124="Mix",SUMIF('High_Low Voltage Mix Summary'!$B$10:$B$17,$B625,'High_Low Voltage Mix Summary'!$G$10:$G$17),""))</f>
        <v/>
      </c>
      <c r="Z124" s="44" t="str">
        <f>IF(OR($P124="High",$P124="Low"),"",IF($P124="Mix",SUMIF('High_Low Voltage Mix Summary'!$B$10:$B$17,$B625,'High_Low Voltage Mix Summary'!$H$10:$H$17),""))</f>
        <v/>
      </c>
      <c r="AB124" s="49">
        <f>SUMIF('Antelope Bailey Split BA'!$B$7:$B$29,B124,'Antelope Bailey Split BA'!$C$7:$C$29)</f>
        <v>0</v>
      </c>
      <c r="AC124" s="49" t="str">
        <f>IF(AND(AB124=1,'Plant Total by Account'!$H$1=2),"EKWRA","")</f>
        <v/>
      </c>
    </row>
    <row r="125" spans="1:29" x14ac:dyDescent="0.2">
      <c r="A125" s="39" t="s">
        <v>2681</v>
      </c>
      <c r="B125" s="40" t="s">
        <v>223</v>
      </c>
      <c r="C125" s="40" t="s">
        <v>3334</v>
      </c>
      <c r="D125" s="53">
        <v>16667.03</v>
      </c>
      <c r="E125" s="53">
        <v>10765.53</v>
      </c>
      <c r="F125" s="53">
        <v>309244.78999999998</v>
      </c>
      <c r="G125" s="578">
        <f t="shared" si="19"/>
        <v>336677.35</v>
      </c>
      <c r="H125" s="41"/>
      <c r="I125" s="41"/>
      <c r="J125" s="41"/>
      <c r="K125" s="41">
        <f t="shared" si="21"/>
        <v>16667.03</v>
      </c>
      <c r="L125" s="41">
        <f t="shared" si="22"/>
        <v>10765.53</v>
      </c>
      <c r="M125" s="41">
        <f t="shared" si="23"/>
        <v>309244.78999999998</v>
      </c>
      <c r="N125" s="363">
        <f t="shared" si="20"/>
        <v>0</v>
      </c>
      <c r="O125" s="43" t="s">
        <v>3309</v>
      </c>
      <c r="P125" s="43"/>
      <c r="R125" s="41">
        <f t="shared" si="16"/>
        <v>0</v>
      </c>
      <c r="S125" s="41">
        <f t="shared" si="17"/>
        <v>0</v>
      </c>
      <c r="T125" s="41">
        <f t="shared" si="18"/>
        <v>0</v>
      </c>
      <c r="U125" s="41"/>
      <c r="V125" s="44" t="str">
        <f>IF($P125="High",$S125,IF($P125="Mix",SUMIF('High_Low Voltage Mix Summary'!$B$10:$B$17,$B626,'High_Low Voltage Mix Summary'!$D$10:$D$17),""))</f>
        <v/>
      </c>
      <c r="W125" s="44" t="str">
        <f>IF($P125="Low",$S125,IF($P125="Mix",SUMIF('High_Low Voltage Mix Summary'!$B$10:$B$17,$B626,'High_Low Voltage Mix Summary'!$E$10:$E$17),""))</f>
        <v/>
      </c>
      <c r="X125" s="44" t="str">
        <f>IF($P125="High",$T125,IF($P125="Mix",SUMIF('High_Low Voltage Mix Summary'!$B$10:$B$17,$B626,'High_Low Voltage Mix Summary'!$F$10:$F$17),""))</f>
        <v/>
      </c>
      <c r="Y125" s="44" t="str">
        <f>IF($P125="Low",$T125,IF($P125="Mix",SUMIF('High_Low Voltage Mix Summary'!$B$10:$B$17,$B626,'High_Low Voltage Mix Summary'!$G$10:$G$17),""))</f>
        <v/>
      </c>
      <c r="Z125" s="44" t="str">
        <f>IF(OR($P125="High",$P125="Low"),"",IF($P125="Mix",SUMIF('High_Low Voltage Mix Summary'!$B$10:$B$17,$B626,'High_Low Voltage Mix Summary'!$H$10:$H$17),""))</f>
        <v/>
      </c>
      <c r="AB125" s="49">
        <f>SUMIF('Antelope Bailey Split BA'!$B$7:$B$29,B125,'Antelope Bailey Split BA'!$C$7:$C$29)</f>
        <v>0</v>
      </c>
      <c r="AC125" s="49" t="str">
        <f>IF(AND(AB125=1,'Plant Total by Account'!$H$1=2),"EKWRA","")</f>
        <v/>
      </c>
    </row>
    <row r="126" spans="1:29" x14ac:dyDescent="0.2">
      <c r="A126" s="39" t="s">
        <v>2682</v>
      </c>
      <c r="B126" s="40" t="s">
        <v>224</v>
      </c>
      <c r="C126" s="40" t="s">
        <v>3333</v>
      </c>
      <c r="D126" s="53">
        <v>4184.26</v>
      </c>
      <c r="E126" s="53">
        <v>20950.47</v>
      </c>
      <c r="F126" s="53">
        <v>846794.32000000007</v>
      </c>
      <c r="G126" s="578">
        <f t="shared" si="19"/>
        <v>871929.05</v>
      </c>
      <c r="H126" s="41"/>
      <c r="I126" s="41"/>
      <c r="J126" s="41"/>
      <c r="K126" s="41">
        <f t="shared" si="21"/>
        <v>4184.26</v>
      </c>
      <c r="L126" s="41">
        <f t="shared" si="22"/>
        <v>20950.47</v>
      </c>
      <c r="M126" s="41">
        <f t="shared" si="23"/>
        <v>846794.32000000007</v>
      </c>
      <c r="N126" s="363">
        <f t="shared" si="20"/>
        <v>0</v>
      </c>
      <c r="O126" s="43" t="s">
        <v>3309</v>
      </c>
      <c r="P126" s="43"/>
      <c r="R126" s="41">
        <f t="shared" si="16"/>
        <v>0</v>
      </c>
      <c r="S126" s="41">
        <f t="shared" si="17"/>
        <v>0</v>
      </c>
      <c r="T126" s="41">
        <f t="shared" si="18"/>
        <v>0</v>
      </c>
      <c r="U126" s="41"/>
      <c r="V126" s="44" t="str">
        <f>IF($P126="High",$S126,IF($P126="Mix",SUMIF('High_Low Voltage Mix Summary'!$B$10:$B$17,$B84,'High_Low Voltage Mix Summary'!$D$10:$D$17),""))</f>
        <v/>
      </c>
      <c r="W126" s="44" t="str">
        <f>IF($P126="Low",$S126,IF($P126="Mix",SUMIF('High_Low Voltage Mix Summary'!$B$10:$B$17,$B84,'High_Low Voltage Mix Summary'!$E$10:$E$17),""))</f>
        <v/>
      </c>
      <c r="X126" s="44" t="str">
        <f>IF($P126="High",$T126,IF($P126="Mix",SUMIF('High_Low Voltage Mix Summary'!$B$10:$B$17,$B84,'High_Low Voltage Mix Summary'!$F$10:$F$17),""))</f>
        <v/>
      </c>
      <c r="Y126" s="44" t="str">
        <f>IF($P126="Low",$T126,IF($P126="Mix",SUMIF('High_Low Voltage Mix Summary'!$B$10:$B$17,$B84,'High_Low Voltage Mix Summary'!$G$10:$G$17),""))</f>
        <v/>
      </c>
      <c r="Z126" s="44" t="str">
        <f>IF(OR($P126="High",$P126="Low"),"",IF($P126="Mix",SUMIF('High_Low Voltage Mix Summary'!$B$10:$B$17,$B84,'High_Low Voltage Mix Summary'!$H$10:$H$17),""))</f>
        <v/>
      </c>
      <c r="AB126" s="49">
        <f>SUMIF('Antelope Bailey Split BA'!$B$7:$B$29,B126,'Antelope Bailey Split BA'!$C$7:$C$29)</f>
        <v>0</v>
      </c>
      <c r="AC126" s="49" t="str">
        <f>IF(AND(AB126=1,'Plant Total by Account'!$H$1=2),"EKWRA","")</f>
        <v/>
      </c>
    </row>
    <row r="127" spans="1:29" x14ac:dyDescent="0.2">
      <c r="A127" s="39" t="s">
        <v>2683</v>
      </c>
      <c r="B127" s="40" t="s">
        <v>225</v>
      </c>
      <c r="C127" s="40" t="s">
        <v>3334</v>
      </c>
      <c r="D127" s="53">
        <v>16257.29</v>
      </c>
      <c r="E127" s="53">
        <v>23366.77</v>
      </c>
      <c r="F127" s="53">
        <v>432417.64999999997</v>
      </c>
      <c r="G127" s="578">
        <f t="shared" si="19"/>
        <v>472041.70999999996</v>
      </c>
      <c r="H127" s="41"/>
      <c r="I127" s="41"/>
      <c r="J127" s="41"/>
      <c r="K127" s="41">
        <f t="shared" si="21"/>
        <v>16257.29</v>
      </c>
      <c r="L127" s="41">
        <f t="shared" si="22"/>
        <v>23366.77</v>
      </c>
      <c r="M127" s="41">
        <f t="shared" si="23"/>
        <v>432417.64999999997</v>
      </c>
      <c r="N127" s="363">
        <f t="shared" si="20"/>
        <v>0</v>
      </c>
      <c r="O127" s="43" t="s">
        <v>3309</v>
      </c>
      <c r="P127" s="43"/>
      <c r="R127" s="41">
        <f t="shared" si="16"/>
        <v>0</v>
      </c>
      <c r="S127" s="41">
        <f t="shared" si="17"/>
        <v>0</v>
      </c>
      <c r="T127" s="41">
        <f t="shared" si="18"/>
        <v>0</v>
      </c>
      <c r="U127" s="41"/>
      <c r="V127" s="44" t="str">
        <f>IF($P127="High",$S127,IF($P127="Mix",SUMIF('High_Low Voltage Mix Summary'!$B$10:$B$17,$B627,'High_Low Voltage Mix Summary'!$D$10:$D$17),""))</f>
        <v/>
      </c>
      <c r="W127" s="44" t="str">
        <f>IF($P127="Low",$S127,IF($P127="Mix",SUMIF('High_Low Voltage Mix Summary'!$B$10:$B$17,$B627,'High_Low Voltage Mix Summary'!$E$10:$E$17),""))</f>
        <v/>
      </c>
      <c r="X127" s="44" t="str">
        <f>IF($P127="High",$T127,IF($P127="Mix",SUMIF('High_Low Voltage Mix Summary'!$B$10:$B$17,$B627,'High_Low Voltage Mix Summary'!$F$10:$F$17),""))</f>
        <v/>
      </c>
      <c r="Y127" s="44" t="str">
        <f>IF($P127="Low",$T127,IF($P127="Mix",SUMIF('High_Low Voltage Mix Summary'!$B$10:$B$17,$B627,'High_Low Voltage Mix Summary'!$G$10:$G$17),""))</f>
        <v/>
      </c>
      <c r="Z127" s="44" t="str">
        <f>IF(OR($P127="High",$P127="Low"),"",IF($P127="Mix",SUMIF('High_Low Voltage Mix Summary'!$B$10:$B$17,$B627,'High_Low Voltage Mix Summary'!$H$10:$H$17),""))</f>
        <v/>
      </c>
      <c r="AB127" s="49">
        <f>SUMIF('Antelope Bailey Split BA'!$B$7:$B$29,B127,'Antelope Bailey Split BA'!$C$7:$C$29)</f>
        <v>0</v>
      </c>
      <c r="AC127" s="49" t="str">
        <f>IF(AND(AB127=1,'Plant Total by Account'!$H$1=2),"EKWRA","")</f>
        <v/>
      </c>
    </row>
    <row r="128" spans="1:29" x14ac:dyDescent="0.2">
      <c r="A128" s="39" t="s">
        <v>2684</v>
      </c>
      <c r="B128" s="40" t="s">
        <v>226</v>
      </c>
      <c r="C128" s="40" t="s">
        <v>3333</v>
      </c>
      <c r="D128" s="53">
        <v>3524.48</v>
      </c>
      <c r="E128" s="53">
        <v>14282.62</v>
      </c>
      <c r="F128" s="53">
        <v>976504.58</v>
      </c>
      <c r="G128" s="578">
        <f t="shared" si="19"/>
        <v>994311.67999999993</v>
      </c>
      <c r="H128" s="41"/>
      <c r="I128" s="41"/>
      <c r="J128" s="41"/>
      <c r="K128" s="41">
        <f t="shared" si="21"/>
        <v>3524.48</v>
      </c>
      <c r="L128" s="41">
        <f t="shared" si="22"/>
        <v>14282.62</v>
      </c>
      <c r="M128" s="41">
        <f t="shared" si="23"/>
        <v>976504.58</v>
      </c>
      <c r="N128" s="363">
        <f t="shared" si="20"/>
        <v>0</v>
      </c>
      <c r="O128" s="43" t="s">
        <v>3309</v>
      </c>
      <c r="P128" s="43"/>
      <c r="R128" s="41">
        <f t="shared" si="16"/>
        <v>0</v>
      </c>
      <c r="S128" s="41">
        <f t="shared" si="17"/>
        <v>0</v>
      </c>
      <c r="T128" s="41">
        <f t="shared" si="18"/>
        <v>0</v>
      </c>
      <c r="U128" s="41"/>
      <c r="V128" s="44" t="str">
        <f>IF($P128="High",$S128,IF($P128="Mix",SUMIF('High_Low Voltage Mix Summary'!$B$10:$B$17,$B85,'High_Low Voltage Mix Summary'!$D$10:$D$17),""))</f>
        <v/>
      </c>
      <c r="W128" s="44" t="str">
        <f>IF($P128="Low",$S128,IF($P128="Mix",SUMIF('High_Low Voltage Mix Summary'!$B$10:$B$17,$B85,'High_Low Voltage Mix Summary'!$E$10:$E$17),""))</f>
        <v/>
      </c>
      <c r="X128" s="44" t="str">
        <f>IF($P128="High",$T128,IF($P128="Mix",SUMIF('High_Low Voltage Mix Summary'!$B$10:$B$17,$B85,'High_Low Voltage Mix Summary'!$F$10:$F$17),""))</f>
        <v/>
      </c>
      <c r="Y128" s="44" t="str">
        <f>IF($P128="Low",$T128,IF($P128="Mix",SUMIF('High_Low Voltage Mix Summary'!$B$10:$B$17,$B85,'High_Low Voltage Mix Summary'!$G$10:$G$17),""))</f>
        <v/>
      </c>
      <c r="Z128" s="44" t="str">
        <f>IF(OR($P128="High",$P128="Low"),"",IF($P128="Mix",SUMIF('High_Low Voltage Mix Summary'!$B$10:$B$17,$B85,'High_Low Voltage Mix Summary'!$H$10:$H$17),""))</f>
        <v/>
      </c>
      <c r="AB128" s="49">
        <f>SUMIF('Antelope Bailey Split BA'!$B$7:$B$29,B128,'Antelope Bailey Split BA'!$C$7:$C$29)</f>
        <v>0</v>
      </c>
      <c r="AC128" s="49" t="str">
        <f>IF(AND(AB128=1,'Plant Total by Account'!$H$1=2),"EKWRA","")</f>
        <v/>
      </c>
    </row>
    <row r="129" spans="1:29" x14ac:dyDescent="0.2">
      <c r="A129" s="39" t="s">
        <v>2406</v>
      </c>
      <c r="B129" s="40" t="s">
        <v>227</v>
      </c>
      <c r="C129" s="40" t="s">
        <v>3334</v>
      </c>
      <c r="D129" s="53">
        <v>3910.28</v>
      </c>
      <c r="E129" s="53">
        <v>1706166.91</v>
      </c>
      <c r="F129" s="53">
        <v>8021780.2900000028</v>
      </c>
      <c r="G129" s="578">
        <f t="shared" si="19"/>
        <v>9731857.4800000023</v>
      </c>
      <c r="H129" s="41"/>
      <c r="I129" s="41"/>
      <c r="J129" s="41"/>
      <c r="K129" s="41">
        <f t="shared" si="21"/>
        <v>3910.28</v>
      </c>
      <c r="L129" s="41">
        <f t="shared" si="22"/>
        <v>1706166.91</v>
      </c>
      <c r="M129" s="41">
        <f t="shared" si="23"/>
        <v>8021780.2900000028</v>
      </c>
      <c r="N129" s="363">
        <f t="shared" si="20"/>
        <v>0</v>
      </c>
      <c r="O129" s="43" t="s">
        <v>3309</v>
      </c>
      <c r="P129" s="43"/>
      <c r="R129" s="41">
        <f t="shared" si="16"/>
        <v>0</v>
      </c>
      <c r="S129" s="41">
        <f t="shared" si="17"/>
        <v>0</v>
      </c>
      <c r="T129" s="41">
        <f t="shared" si="18"/>
        <v>0</v>
      </c>
      <c r="U129" s="41"/>
      <c r="V129" s="44" t="str">
        <f>IF($P129="High",$S129,IF($P129="Mix",SUMIF('High_Low Voltage Mix Summary'!$B$10:$B$17,$B628,'High_Low Voltage Mix Summary'!$D$10:$D$17),""))</f>
        <v/>
      </c>
      <c r="W129" s="44" t="str">
        <f>IF($P129="Low",$S129,IF($P129="Mix",SUMIF('High_Low Voltage Mix Summary'!$B$10:$B$17,$B628,'High_Low Voltage Mix Summary'!$E$10:$E$17),""))</f>
        <v/>
      </c>
      <c r="X129" s="44" t="str">
        <f>IF($P129="High",$T129,IF($P129="Mix",SUMIF('High_Low Voltage Mix Summary'!$B$10:$B$17,$B628,'High_Low Voltage Mix Summary'!$F$10:$F$17),""))</f>
        <v/>
      </c>
      <c r="Y129" s="44" t="str">
        <f>IF($P129="Low",$T129,IF($P129="Mix",SUMIF('High_Low Voltage Mix Summary'!$B$10:$B$17,$B628,'High_Low Voltage Mix Summary'!$G$10:$G$17),""))</f>
        <v/>
      </c>
      <c r="Z129" s="44" t="str">
        <f>IF(OR($P129="High",$P129="Low"),"",IF($P129="Mix",SUMIF('High_Low Voltage Mix Summary'!$B$10:$B$17,$B628,'High_Low Voltage Mix Summary'!$H$10:$H$17),""))</f>
        <v/>
      </c>
      <c r="AB129" s="49">
        <f>SUMIF('Antelope Bailey Split BA'!$B$7:$B$29,B129,'Antelope Bailey Split BA'!$C$7:$C$29)</f>
        <v>0</v>
      </c>
      <c r="AC129" s="49" t="str">
        <f>IF(AND(AB129=1,'Plant Total by Account'!$H$1=2),"EKWRA","")</f>
        <v/>
      </c>
    </row>
    <row r="130" spans="1:29" x14ac:dyDescent="0.2">
      <c r="A130" s="39" t="s">
        <v>2685</v>
      </c>
      <c r="B130" s="40" t="s">
        <v>228</v>
      </c>
      <c r="C130" s="40"/>
      <c r="D130" s="53">
        <v>0</v>
      </c>
      <c r="E130" s="53">
        <v>1791.91</v>
      </c>
      <c r="F130" s="53">
        <v>102152.03</v>
      </c>
      <c r="G130" s="578">
        <f t="shared" si="19"/>
        <v>103943.94</v>
      </c>
      <c r="H130" s="41"/>
      <c r="I130" s="41"/>
      <c r="J130" s="41"/>
      <c r="K130" s="41">
        <f t="shared" si="21"/>
        <v>0</v>
      </c>
      <c r="L130" s="41">
        <f t="shared" si="22"/>
        <v>1791.91</v>
      </c>
      <c r="M130" s="41">
        <f t="shared" si="23"/>
        <v>102152.03</v>
      </c>
      <c r="N130" s="363">
        <f t="shared" si="20"/>
        <v>0</v>
      </c>
      <c r="O130" s="43" t="s">
        <v>3309</v>
      </c>
      <c r="P130" s="43"/>
      <c r="R130" s="41">
        <f t="shared" si="16"/>
        <v>0</v>
      </c>
      <c r="S130" s="41">
        <f t="shared" si="17"/>
        <v>0</v>
      </c>
      <c r="T130" s="41">
        <f t="shared" si="18"/>
        <v>0</v>
      </c>
      <c r="U130" s="41"/>
      <c r="V130" s="44" t="str">
        <f>IF($P130="High",$S130,IF($P130="Mix",SUMIF('High_Low Voltage Mix Summary'!$B$10:$B$17,$B86,'High_Low Voltage Mix Summary'!$D$10:$D$17),""))</f>
        <v/>
      </c>
      <c r="W130" s="44" t="str">
        <f>IF($P130="Low",$S130,IF($P130="Mix",SUMIF('High_Low Voltage Mix Summary'!$B$10:$B$17,$B86,'High_Low Voltage Mix Summary'!$E$10:$E$17),""))</f>
        <v/>
      </c>
      <c r="X130" s="44" t="str">
        <f>IF($P130="High",$T130,IF($P130="Mix",SUMIF('High_Low Voltage Mix Summary'!$B$10:$B$17,$B86,'High_Low Voltage Mix Summary'!$F$10:$F$17),""))</f>
        <v/>
      </c>
      <c r="Y130" s="44" t="str">
        <f>IF($P130="Low",$T130,IF($P130="Mix",SUMIF('High_Low Voltage Mix Summary'!$B$10:$B$17,$B86,'High_Low Voltage Mix Summary'!$G$10:$G$17),""))</f>
        <v/>
      </c>
      <c r="Z130" s="44" t="str">
        <f>IF(OR($P130="High",$P130="Low"),"",IF($P130="Mix",SUMIF('High_Low Voltage Mix Summary'!$B$10:$B$17,$B86,'High_Low Voltage Mix Summary'!$H$10:$H$17),""))</f>
        <v/>
      </c>
      <c r="AB130" s="49">
        <f>SUMIF('Antelope Bailey Split BA'!$B$7:$B$29,B130,'Antelope Bailey Split BA'!$C$7:$C$29)</f>
        <v>0</v>
      </c>
      <c r="AC130" s="49" t="str">
        <f>IF(AND(AB130=1,'Plant Total by Account'!$H$1=2),"EKWRA","")</f>
        <v/>
      </c>
    </row>
    <row r="131" spans="1:29" x14ac:dyDescent="0.2">
      <c r="A131" s="39" t="s">
        <v>2686</v>
      </c>
      <c r="B131" s="40" t="s">
        <v>229</v>
      </c>
      <c r="C131" s="40" t="s">
        <v>3334</v>
      </c>
      <c r="D131" s="53">
        <v>19315.689999999999</v>
      </c>
      <c r="E131" s="53">
        <v>12011.32</v>
      </c>
      <c r="F131" s="53">
        <v>343576.63</v>
      </c>
      <c r="G131" s="578">
        <f t="shared" si="19"/>
        <v>374903.64</v>
      </c>
      <c r="H131" s="41"/>
      <c r="I131" s="41"/>
      <c r="J131" s="41"/>
      <c r="K131" s="41">
        <f t="shared" si="21"/>
        <v>19315.689999999999</v>
      </c>
      <c r="L131" s="41">
        <f t="shared" si="22"/>
        <v>12011.32</v>
      </c>
      <c r="M131" s="41">
        <f t="shared" si="23"/>
        <v>343576.63</v>
      </c>
      <c r="N131" s="363">
        <f t="shared" si="20"/>
        <v>0</v>
      </c>
      <c r="O131" s="43" t="s">
        <v>3309</v>
      </c>
      <c r="P131" s="43"/>
      <c r="R131" s="41">
        <f t="shared" si="16"/>
        <v>0</v>
      </c>
      <c r="S131" s="41">
        <f t="shared" si="17"/>
        <v>0</v>
      </c>
      <c r="T131" s="41">
        <f t="shared" si="18"/>
        <v>0</v>
      </c>
      <c r="U131" s="41"/>
      <c r="V131" s="44" t="str">
        <f>IF($P131="High",$S131,IF($P131="Mix",SUMIF('High_Low Voltage Mix Summary'!$B$10:$B$17,$B87,'High_Low Voltage Mix Summary'!$D$10:$D$17),""))</f>
        <v/>
      </c>
      <c r="W131" s="44" t="str">
        <f>IF($P131="Low",$S131,IF($P131="Mix",SUMIF('High_Low Voltage Mix Summary'!$B$10:$B$17,$B87,'High_Low Voltage Mix Summary'!$E$10:$E$17),""))</f>
        <v/>
      </c>
      <c r="X131" s="44" t="str">
        <f>IF($P131="High",$T131,IF($P131="Mix",SUMIF('High_Low Voltage Mix Summary'!$B$10:$B$17,$B87,'High_Low Voltage Mix Summary'!$F$10:$F$17),""))</f>
        <v/>
      </c>
      <c r="Y131" s="44" t="str">
        <f>IF($P131="Low",$T131,IF($P131="Mix",SUMIF('High_Low Voltage Mix Summary'!$B$10:$B$17,$B87,'High_Low Voltage Mix Summary'!$G$10:$G$17),""))</f>
        <v/>
      </c>
      <c r="Z131" s="44" t="str">
        <f>IF(OR($P131="High",$P131="Low"),"",IF($P131="Mix",SUMIF('High_Low Voltage Mix Summary'!$B$10:$B$17,$B87,'High_Low Voltage Mix Summary'!$H$10:$H$17),""))</f>
        <v/>
      </c>
      <c r="AB131" s="49">
        <f>SUMIF('Antelope Bailey Split BA'!$B$7:$B$29,B131,'Antelope Bailey Split BA'!$C$7:$C$29)</f>
        <v>0</v>
      </c>
      <c r="AC131" s="49" t="str">
        <f>IF(AND(AB131=1,'Plant Total by Account'!$H$1=2),"EKWRA","")</f>
        <v/>
      </c>
    </row>
    <row r="132" spans="1:29" x14ac:dyDescent="0.2">
      <c r="A132" s="39" t="s">
        <v>2407</v>
      </c>
      <c r="B132" s="40" t="s">
        <v>230</v>
      </c>
      <c r="C132" s="40" t="s">
        <v>3334</v>
      </c>
      <c r="D132" s="53">
        <v>27985.65</v>
      </c>
      <c r="E132" s="53">
        <v>70090.3</v>
      </c>
      <c r="F132" s="53">
        <v>5263951.5899999887</v>
      </c>
      <c r="G132" s="578">
        <f t="shared" si="19"/>
        <v>5362027.5399999889</v>
      </c>
      <c r="H132" s="41"/>
      <c r="I132" s="41"/>
      <c r="J132" s="41"/>
      <c r="K132" s="41">
        <f t="shared" si="21"/>
        <v>27985.65</v>
      </c>
      <c r="L132" s="41">
        <f t="shared" si="22"/>
        <v>70090.3</v>
      </c>
      <c r="M132" s="41">
        <f t="shared" si="23"/>
        <v>5263951.5899999887</v>
      </c>
      <c r="N132" s="363">
        <f t="shared" si="20"/>
        <v>0</v>
      </c>
      <c r="O132" s="43" t="s">
        <v>3309</v>
      </c>
      <c r="P132" s="43"/>
      <c r="R132" s="41">
        <f t="shared" si="16"/>
        <v>0</v>
      </c>
      <c r="S132" s="41">
        <f t="shared" si="17"/>
        <v>0</v>
      </c>
      <c r="T132" s="41">
        <f t="shared" si="18"/>
        <v>0</v>
      </c>
      <c r="U132" s="41"/>
      <c r="V132" s="44" t="str">
        <f>IF($P132="High",$S132,IF($P132="Mix",SUMIF('High_Low Voltage Mix Summary'!$B$10:$B$17,$B88,'High_Low Voltage Mix Summary'!$D$10:$D$17),""))</f>
        <v/>
      </c>
      <c r="W132" s="44" t="str">
        <f>IF($P132="Low",$S132,IF($P132="Mix",SUMIF('High_Low Voltage Mix Summary'!$B$10:$B$17,$B88,'High_Low Voltage Mix Summary'!$E$10:$E$17),""))</f>
        <v/>
      </c>
      <c r="X132" s="44" t="str">
        <f>IF($P132="High",$T132,IF($P132="Mix",SUMIF('High_Low Voltage Mix Summary'!$B$10:$B$17,$B88,'High_Low Voltage Mix Summary'!$F$10:$F$17),""))</f>
        <v/>
      </c>
      <c r="Y132" s="44" t="str">
        <f>IF($P132="Low",$T132,IF($P132="Mix",SUMIF('High_Low Voltage Mix Summary'!$B$10:$B$17,$B88,'High_Low Voltage Mix Summary'!$G$10:$G$17),""))</f>
        <v/>
      </c>
      <c r="Z132" s="44" t="str">
        <f>IF(OR($P132="High",$P132="Low"),"",IF($P132="Mix",SUMIF('High_Low Voltage Mix Summary'!$B$10:$B$17,$B88,'High_Low Voltage Mix Summary'!$H$10:$H$17),""))</f>
        <v/>
      </c>
      <c r="AB132" s="49">
        <f>SUMIF('Antelope Bailey Split BA'!$B$7:$B$29,B132,'Antelope Bailey Split BA'!$C$7:$C$29)</f>
        <v>0</v>
      </c>
      <c r="AC132" s="49" t="str">
        <f>IF(AND(AB132=1,'Plant Total by Account'!$H$1=2),"EKWRA","")</f>
        <v/>
      </c>
    </row>
    <row r="133" spans="1:29" x14ac:dyDescent="0.2">
      <c r="A133" s="39" t="s">
        <v>2408</v>
      </c>
      <c r="B133" s="40" t="s">
        <v>231</v>
      </c>
      <c r="C133" s="40" t="s">
        <v>3333</v>
      </c>
      <c r="D133" s="53">
        <v>9203.52</v>
      </c>
      <c r="E133" s="53">
        <v>18974.93</v>
      </c>
      <c r="F133" s="53">
        <v>1882303.1499999997</v>
      </c>
      <c r="G133" s="578">
        <f t="shared" si="19"/>
        <v>1910481.5999999996</v>
      </c>
      <c r="H133" s="41"/>
      <c r="I133" s="41"/>
      <c r="J133" s="41"/>
      <c r="K133" s="41">
        <f t="shared" si="21"/>
        <v>9203.52</v>
      </c>
      <c r="L133" s="41">
        <f t="shared" si="22"/>
        <v>18974.93</v>
      </c>
      <c r="M133" s="41">
        <f t="shared" si="23"/>
        <v>1882303.1499999997</v>
      </c>
      <c r="N133" s="363">
        <f t="shared" si="20"/>
        <v>0</v>
      </c>
      <c r="O133" s="43" t="s">
        <v>3309</v>
      </c>
      <c r="P133" s="43"/>
      <c r="R133" s="41">
        <f t="shared" ref="R133:R196" si="24">SUM(H133:J133)</f>
        <v>0</v>
      </c>
      <c r="S133" s="41">
        <f t="shared" ref="S133:S196" si="25">H133</f>
        <v>0</v>
      </c>
      <c r="T133" s="41">
        <f t="shared" ref="T133:T196" si="26">SUM(I133:J133)</f>
        <v>0</v>
      </c>
      <c r="U133" s="41"/>
      <c r="V133" s="44" t="str">
        <f>IF($P133="High",$S133,IF($P133="Mix",SUMIF('High_Low Voltage Mix Summary'!$B$10:$B$17,$B89,'High_Low Voltage Mix Summary'!$D$10:$D$17),""))</f>
        <v/>
      </c>
      <c r="W133" s="44" t="str">
        <f>IF($P133="Low",$S133,IF($P133="Mix",SUMIF('High_Low Voltage Mix Summary'!$B$10:$B$17,$B89,'High_Low Voltage Mix Summary'!$E$10:$E$17),""))</f>
        <v/>
      </c>
      <c r="X133" s="44" t="str">
        <f>IF($P133="High",$T133,IF($P133="Mix",SUMIF('High_Low Voltage Mix Summary'!$B$10:$B$17,$B89,'High_Low Voltage Mix Summary'!$F$10:$F$17),""))</f>
        <v/>
      </c>
      <c r="Y133" s="44" t="str">
        <f>IF($P133="Low",$T133,IF($P133="Mix",SUMIF('High_Low Voltage Mix Summary'!$B$10:$B$17,$B89,'High_Low Voltage Mix Summary'!$G$10:$G$17),""))</f>
        <v/>
      </c>
      <c r="Z133" s="44" t="str">
        <f>IF(OR($P133="High",$P133="Low"),"",IF($P133="Mix",SUMIF('High_Low Voltage Mix Summary'!$B$10:$B$17,$B89,'High_Low Voltage Mix Summary'!$H$10:$H$17),""))</f>
        <v/>
      </c>
      <c r="AB133" s="49">
        <f>SUMIF('Antelope Bailey Split BA'!$B$7:$B$29,B133,'Antelope Bailey Split BA'!$C$7:$C$29)</f>
        <v>0</v>
      </c>
      <c r="AC133" s="49" t="str">
        <f>IF(AND(AB133=1,'Plant Total by Account'!$H$1=2),"EKWRA","")</f>
        <v/>
      </c>
    </row>
    <row r="134" spans="1:29" x14ac:dyDescent="0.2">
      <c r="A134" s="39" t="s">
        <v>2687</v>
      </c>
      <c r="B134" s="40" t="s">
        <v>232</v>
      </c>
      <c r="C134" s="40" t="s">
        <v>3334</v>
      </c>
      <c r="D134" s="53">
        <v>11399.170000000002</v>
      </c>
      <c r="E134" s="53">
        <v>159286.08999999997</v>
      </c>
      <c r="F134" s="53">
        <v>3296137.9500000011</v>
      </c>
      <c r="G134" s="578">
        <f t="shared" si="19"/>
        <v>3466823.2100000009</v>
      </c>
      <c r="H134" s="41"/>
      <c r="I134" s="41"/>
      <c r="J134" s="41"/>
      <c r="K134" s="41">
        <f t="shared" si="21"/>
        <v>11399.170000000002</v>
      </c>
      <c r="L134" s="41">
        <f t="shared" si="22"/>
        <v>159286.08999999997</v>
      </c>
      <c r="M134" s="41">
        <f t="shared" si="23"/>
        <v>3296137.9500000011</v>
      </c>
      <c r="N134" s="363">
        <f t="shared" si="20"/>
        <v>0</v>
      </c>
      <c r="O134" s="43" t="s">
        <v>3309</v>
      </c>
      <c r="P134" s="43"/>
      <c r="R134" s="41">
        <f t="shared" si="24"/>
        <v>0</v>
      </c>
      <c r="S134" s="41">
        <f t="shared" si="25"/>
        <v>0</v>
      </c>
      <c r="T134" s="41">
        <f t="shared" si="26"/>
        <v>0</v>
      </c>
      <c r="U134" s="41"/>
      <c r="V134" s="44" t="str">
        <f>IF($P134="High",$S134,IF($P134="Mix",SUMIF('High_Low Voltage Mix Summary'!$B$10:$B$17,$B629,'High_Low Voltage Mix Summary'!$D$10:$D$17),""))</f>
        <v/>
      </c>
      <c r="W134" s="44" t="str">
        <f>IF($P134="Low",$S134,IF($P134="Mix",SUMIF('High_Low Voltage Mix Summary'!$B$10:$B$17,$B629,'High_Low Voltage Mix Summary'!$E$10:$E$17),""))</f>
        <v/>
      </c>
      <c r="X134" s="44" t="str">
        <f>IF($P134="High",$T134,IF($P134="Mix",SUMIF('High_Low Voltage Mix Summary'!$B$10:$B$17,$B629,'High_Low Voltage Mix Summary'!$F$10:$F$17),""))</f>
        <v/>
      </c>
      <c r="Y134" s="44" t="str">
        <f>IF($P134="Low",$T134,IF($P134="Mix",SUMIF('High_Low Voltage Mix Summary'!$B$10:$B$17,$B629,'High_Low Voltage Mix Summary'!$G$10:$G$17),""))</f>
        <v/>
      </c>
      <c r="Z134" s="44" t="str">
        <f>IF(OR($P134="High",$P134="Low"),"",IF($P134="Mix",SUMIF('High_Low Voltage Mix Summary'!$B$10:$B$17,$B629,'High_Low Voltage Mix Summary'!$H$10:$H$17),""))</f>
        <v/>
      </c>
      <c r="AB134" s="49">
        <f>SUMIF('Antelope Bailey Split BA'!$B$7:$B$29,B134,'Antelope Bailey Split BA'!$C$7:$C$29)</f>
        <v>0</v>
      </c>
      <c r="AC134" s="49" t="str">
        <f>IF(AND(AB134=1,'Plant Total by Account'!$H$1=2),"EKWRA","")</f>
        <v/>
      </c>
    </row>
    <row r="135" spans="1:29" x14ac:dyDescent="0.2">
      <c r="A135" s="39" t="s">
        <v>2410</v>
      </c>
      <c r="B135" s="40" t="s">
        <v>233</v>
      </c>
      <c r="C135" s="40" t="s">
        <v>3333</v>
      </c>
      <c r="D135" s="53">
        <v>12983.58</v>
      </c>
      <c r="E135" s="53">
        <v>44226.25</v>
      </c>
      <c r="F135" s="53">
        <v>1570860.4799999995</v>
      </c>
      <c r="G135" s="578">
        <f t="shared" si="19"/>
        <v>1628070.3099999996</v>
      </c>
      <c r="H135" s="41"/>
      <c r="I135" s="41"/>
      <c r="J135" s="41"/>
      <c r="K135" s="41">
        <f t="shared" si="21"/>
        <v>12983.58</v>
      </c>
      <c r="L135" s="41">
        <f t="shared" si="22"/>
        <v>44226.25</v>
      </c>
      <c r="M135" s="41">
        <f t="shared" si="23"/>
        <v>1570860.4799999995</v>
      </c>
      <c r="N135" s="363">
        <f t="shared" si="20"/>
        <v>0</v>
      </c>
      <c r="O135" s="43" t="s">
        <v>3309</v>
      </c>
      <c r="P135" s="43"/>
      <c r="R135" s="41">
        <f t="shared" si="24"/>
        <v>0</v>
      </c>
      <c r="S135" s="41">
        <f t="shared" si="25"/>
        <v>0</v>
      </c>
      <c r="T135" s="41">
        <f t="shared" si="26"/>
        <v>0</v>
      </c>
      <c r="U135" s="41"/>
      <c r="V135" s="44" t="str">
        <f>IF($P135="High",$S135,IF($P135="Mix",SUMIF('High_Low Voltage Mix Summary'!$B$10:$B$17,$B90,'High_Low Voltage Mix Summary'!$D$10:$D$17),""))</f>
        <v/>
      </c>
      <c r="W135" s="44" t="str">
        <f>IF($P135="Low",$S135,IF($P135="Mix",SUMIF('High_Low Voltage Mix Summary'!$B$10:$B$17,$B90,'High_Low Voltage Mix Summary'!$E$10:$E$17),""))</f>
        <v/>
      </c>
      <c r="X135" s="44" t="str">
        <f>IF($P135="High",$T135,IF($P135="Mix",SUMIF('High_Low Voltage Mix Summary'!$B$10:$B$17,$B90,'High_Low Voltage Mix Summary'!$F$10:$F$17),""))</f>
        <v/>
      </c>
      <c r="Y135" s="44" t="str">
        <f>IF($P135="Low",$T135,IF($P135="Mix",SUMIF('High_Low Voltage Mix Summary'!$B$10:$B$17,$B90,'High_Low Voltage Mix Summary'!$G$10:$G$17),""))</f>
        <v/>
      </c>
      <c r="Z135" s="44" t="str">
        <f>IF(OR($P135="High",$P135="Low"),"",IF($P135="Mix",SUMIF('High_Low Voltage Mix Summary'!$B$10:$B$17,$B90,'High_Low Voltage Mix Summary'!$H$10:$H$17),""))</f>
        <v/>
      </c>
      <c r="AB135" s="49">
        <f>SUMIF('Antelope Bailey Split BA'!$B$7:$B$29,B135,'Antelope Bailey Split BA'!$C$7:$C$29)</f>
        <v>0</v>
      </c>
      <c r="AC135" s="49" t="str">
        <f>IF(AND(AB135=1,'Plant Total by Account'!$H$1=2),"EKWRA","")</f>
        <v/>
      </c>
    </row>
    <row r="136" spans="1:29" x14ac:dyDescent="0.2">
      <c r="A136" s="39" t="s">
        <v>2688</v>
      </c>
      <c r="B136" s="40" t="s">
        <v>234</v>
      </c>
      <c r="C136" s="40" t="s">
        <v>3333</v>
      </c>
      <c r="D136" s="53">
        <v>10403.42</v>
      </c>
      <c r="E136" s="53">
        <v>15902.970000000001</v>
      </c>
      <c r="F136" s="53">
        <v>299685.35000000003</v>
      </c>
      <c r="G136" s="578">
        <f t="shared" si="19"/>
        <v>325991.74000000005</v>
      </c>
      <c r="H136" s="41"/>
      <c r="I136" s="41"/>
      <c r="J136" s="41"/>
      <c r="K136" s="41">
        <f t="shared" si="21"/>
        <v>10403.42</v>
      </c>
      <c r="L136" s="41">
        <f t="shared" si="22"/>
        <v>15902.970000000001</v>
      </c>
      <c r="M136" s="41">
        <f t="shared" si="23"/>
        <v>299685.35000000003</v>
      </c>
      <c r="N136" s="363">
        <f t="shared" si="20"/>
        <v>0</v>
      </c>
      <c r="O136" s="43" t="s">
        <v>3309</v>
      </c>
      <c r="P136" s="43"/>
      <c r="R136" s="41">
        <f t="shared" si="24"/>
        <v>0</v>
      </c>
      <c r="S136" s="41">
        <f t="shared" si="25"/>
        <v>0</v>
      </c>
      <c r="T136" s="41">
        <f t="shared" si="26"/>
        <v>0</v>
      </c>
      <c r="U136" s="41"/>
      <c r="V136" s="44" t="str">
        <f>IF($P136="High",$S136,IF($P136="Mix",SUMIF('High_Low Voltage Mix Summary'!$B$10:$B$17,$B630,'High_Low Voltage Mix Summary'!$D$10:$D$17),""))</f>
        <v/>
      </c>
      <c r="W136" s="44" t="str">
        <f>IF($P136="Low",$S136,IF($P136="Mix",SUMIF('High_Low Voltage Mix Summary'!$B$10:$B$17,$B630,'High_Low Voltage Mix Summary'!$E$10:$E$17),""))</f>
        <v/>
      </c>
      <c r="X136" s="44" t="str">
        <f>IF($P136="High",$T136,IF($P136="Mix",SUMIF('High_Low Voltage Mix Summary'!$B$10:$B$17,$B630,'High_Low Voltage Mix Summary'!$F$10:$F$17),""))</f>
        <v/>
      </c>
      <c r="Y136" s="44" t="str">
        <f>IF($P136="Low",$T136,IF($P136="Mix",SUMIF('High_Low Voltage Mix Summary'!$B$10:$B$17,$B630,'High_Low Voltage Mix Summary'!$G$10:$G$17),""))</f>
        <v/>
      </c>
      <c r="Z136" s="44" t="str">
        <f>IF(OR($P136="High",$P136="Low"),"",IF($P136="Mix",SUMIF('High_Low Voltage Mix Summary'!$B$10:$B$17,$B630,'High_Low Voltage Mix Summary'!$H$10:$H$17),""))</f>
        <v/>
      </c>
      <c r="AB136" s="49">
        <f>SUMIF('Antelope Bailey Split BA'!$B$7:$B$29,B136,'Antelope Bailey Split BA'!$C$7:$C$29)</f>
        <v>0</v>
      </c>
      <c r="AC136" s="49" t="str">
        <f>IF(AND(AB136=1,'Plant Total by Account'!$H$1=2),"EKWRA","")</f>
        <v/>
      </c>
    </row>
    <row r="137" spans="1:29" x14ac:dyDescent="0.2">
      <c r="A137" s="39" t="s">
        <v>2689</v>
      </c>
      <c r="B137" s="40" t="s">
        <v>235</v>
      </c>
      <c r="C137" s="40" t="s">
        <v>3333</v>
      </c>
      <c r="D137" s="53">
        <v>0</v>
      </c>
      <c r="E137" s="53">
        <v>6085.49</v>
      </c>
      <c r="F137" s="53">
        <v>31.37</v>
      </c>
      <c r="G137" s="578">
        <f t="shared" si="19"/>
        <v>6116.86</v>
      </c>
      <c r="H137" s="41"/>
      <c r="I137" s="41"/>
      <c r="J137" s="41"/>
      <c r="K137" s="41">
        <f t="shared" si="21"/>
        <v>0</v>
      </c>
      <c r="L137" s="41">
        <f t="shared" si="22"/>
        <v>6085.49</v>
      </c>
      <c r="M137" s="41">
        <f t="shared" si="23"/>
        <v>31.37</v>
      </c>
      <c r="N137" s="363">
        <f t="shared" si="20"/>
        <v>0</v>
      </c>
      <c r="O137" s="43" t="s">
        <v>3309</v>
      </c>
      <c r="P137" s="43"/>
      <c r="R137" s="41">
        <f t="shared" si="24"/>
        <v>0</v>
      </c>
      <c r="S137" s="41">
        <f t="shared" si="25"/>
        <v>0</v>
      </c>
      <c r="T137" s="41">
        <f t="shared" si="26"/>
        <v>0</v>
      </c>
      <c r="U137" s="41"/>
      <c r="V137" s="44" t="str">
        <f>IF($P137="High",$S137,IF($P137="Mix",SUMIF('High_Low Voltage Mix Summary'!$B$10:$B$17,$B631,'High_Low Voltage Mix Summary'!$D$10:$D$17),""))</f>
        <v/>
      </c>
      <c r="W137" s="44" t="str">
        <f>IF($P137="Low",$S137,IF($P137="Mix",SUMIF('High_Low Voltage Mix Summary'!$B$10:$B$17,$B631,'High_Low Voltage Mix Summary'!$E$10:$E$17),""))</f>
        <v/>
      </c>
      <c r="X137" s="44" t="str">
        <f>IF($P137="High",$T137,IF($P137="Mix",SUMIF('High_Low Voltage Mix Summary'!$B$10:$B$17,$B631,'High_Low Voltage Mix Summary'!$F$10:$F$17),""))</f>
        <v/>
      </c>
      <c r="Y137" s="44" t="str">
        <f>IF($P137="Low",$T137,IF($P137="Mix",SUMIF('High_Low Voltage Mix Summary'!$B$10:$B$17,$B631,'High_Low Voltage Mix Summary'!$G$10:$G$17),""))</f>
        <v/>
      </c>
      <c r="Z137" s="44" t="str">
        <f>IF(OR($P137="High",$P137="Low"),"",IF($P137="Mix",SUMIF('High_Low Voltage Mix Summary'!$B$10:$B$17,$B631,'High_Low Voltage Mix Summary'!$H$10:$H$17),""))</f>
        <v/>
      </c>
      <c r="AB137" s="49">
        <f>SUMIF('Antelope Bailey Split BA'!$B$7:$B$29,B137,'Antelope Bailey Split BA'!$C$7:$C$29)</f>
        <v>0</v>
      </c>
      <c r="AC137" s="49" t="str">
        <f>IF(AND(AB137=1,'Plant Total by Account'!$H$1=2),"EKWRA","")</f>
        <v/>
      </c>
    </row>
    <row r="138" spans="1:29" x14ac:dyDescent="0.2">
      <c r="A138" s="39" t="s">
        <v>2411</v>
      </c>
      <c r="B138" s="40" t="s">
        <v>236</v>
      </c>
      <c r="C138" s="40" t="s">
        <v>3333</v>
      </c>
      <c r="D138" s="53">
        <v>16468.7</v>
      </c>
      <c r="E138" s="53">
        <v>27218.47</v>
      </c>
      <c r="F138" s="53">
        <v>827586.06</v>
      </c>
      <c r="G138" s="578">
        <f t="shared" si="19"/>
        <v>871273.2300000001</v>
      </c>
      <c r="H138" s="41"/>
      <c r="I138" s="41"/>
      <c r="J138" s="41"/>
      <c r="K138" s="41">
        <f t="shared" si="21"/>
        <v>16468.7</v>
      </c>
      <c r="L138" s="41">
        <f t="shared" si="22"/>
        <v>27218.47</v>
      </c>
      <c r="M138" s="41">
        <f t="shared" si="23"/>
        <v>827586.06</v>
      </c>
      <c r="N138" s="363">
        <f t="shared" si="20"/>
        <v>0</v>
      </c>
      <c r="O138" s="43" t="s">
        <v>3309</v>
      </c>
      <c r="P138" s="43"/>
      <c r="R138" s="41">
        <f t="shared" si="24"/>
        <v>0</v>
      </c>
      <c r="S138" s="41">
        <f t="shared" si="25"/>
        <v>0</v>
      </c>
      <c r="T138" s="41">
        <f t="shared" si="26"/>
        <v>0</v>
      </c>
      <c r="U138" s="41"/>
      <c r="V138" s="44" t="str">
        <f>IF($P138="High",$S138,IF($P138="Mix",SUMIF('High_Low Voltage Mix Summary'!$B$10:$B$17,$B632,'High_Low Voltage Mix Summary'!$D$10:$D$17),""))</f>
        <v/>
      </c>
      <c r="W138" s="44" t="str">
        <f>IF($P138="Low",$S138,IF($P138="Mix",SUMIF('High_Low Voltage Mix Summary'!$B$10:$B$17,$B632,'High_Low Voltage Mix Summary'!$E$10:$E$17),""))</f>
        <v/>
      </c>
      <c r="X138" s="44" t="str">
        <f>IF($P138="High",$T138,IF($P138="Mix",SUMIF('High_Low Voltage Mix Summary'!$B$10:$B$17,$B632,'High_Low Voltage Mix Summary'!$F$10:$F$17),""))</f>
        <v/>
      </c>
      <c r="Y138" s="44" t="str">
        <f>IF($P138="Low",$T138,IF($P138="Mix",SUMIF('High_Low Voltage Mix Summary'!$B$10:$B$17,$B632,'High_Low Voltage Mix Summary'!$G$10:$G$17),""))</f>
        <v/>
      </c>
      <c r="Z138" s="44" t="str">
        <f>IF(OR($P138="High",$P138="Low"),"",IF($P138="Mix",SUMIF('High_Low Voltage Mix Summary'!$B$10:$B$17,$B632,'High_Low Voltage Mix Summary'!$H$10:$H$17),""))</f>
        <v/>
      </c>
      <c r="AB138" s="49">
        <f>SUMIF('Antelope Bailey Split BA'!$B$7:$B$29,B138,'Antelope Bailey Split BA'!$C$7:$C$29)</f>
        <v>0</v>
      </c>
      <c r="AC138" s="49" t="str">
        <f>IF(AND(AB138=1,'Plant Total by Account'!$H$1=2),"EKWRA","")</f>
        <v/>
      </c>
    </row>
    <row r="139" spans="1:29" x14ac:dyDescent="0.2">
      <c r="A139" s="39" t="s">
        <v>2690</v>
      </c>
      <c r="B139" s="40" t="s">
        <v>237</v>
      </c>
      <c r="C139" s="40" t="s">
        <v>3334</v>
      </c>
      <c r="D139" s="53">
        <v>11331.11</v>
      </c>
      <c r="E139" s="53">
        <v>165975.35</v>
      </c>
      <c r="F139" s="53">
        <v>5063651.9200000018</v>
      </c>
      <c r="G139" s="578">
        <f t="shared" ref="G139:G202" si="27">SUM(D139:F139)</f>
        <v>5240958.3800000018</v>
      </c>
      <c r="H139" s="41"/>
      <c r="I139" s="41"/>
      <c r="J139" s="41"/>
      <c r="K139" s="41">
        <f t="shared" si="21"/>
        <v>11331.11</v>
      </c>
      <c r="L139" s="41">
        <f t="shared" si="22"/>
        <v>165975.35</v>
      </c>
      <c r="M139" s="41">
        <f t="shared" si="23"/>
        <v>5063651.9200000018</v>
      </c>
      <c r="N139" s="363">
        <f t="shared" ref="N139:N202" si="28">G139-SUM(H139:M139)</f>
        <v>0</v>
      </c>
      <c r="O139" s="43" t="s">
        <v>3309</v>
      </c>
      <c r="P139" s="43"/>
      <c r="R139" s="41">
        <f t="shared" si="24"/>
        <v>0</v>
      </c>
      <c r="S139" s="41">
        <f t="shared" si="25"/>
        <v>0</v>
      </c>
      <c r="T139" s="41">
        <f t="shared" si="26"/>
        <v>0</v>
      </c>
      <c r="U139" s="41"/>
      <c r="V139" s="44" t="str">
        <f>IF($P139="High",$S139,IF($P139="Mix",SUMIF('High_Low Voltage Mix Summary'!$B$10:$B$17,$B633,'High_Low Voltage Mix Summary'!$D$10:$D$17),""))</f>
        <v/>
      </c>
      <c r="W139" s="44" t="str">
        <f>IF($P139="Low",$S139,IF($P139="Mix",SUMIF('High_Low Voltage Mix Summary'!$B$10:$B$17,$B633,'High_Low Voltage Mix Summary'!$E$10:$E$17),""))</f>
        <v/>
      </c>
      <c r="X139" s="44" t="str">
        <f>IF($P139="High",$T139,IF($P139="Mix",SUMIF('High_Low Voltage Mix Summary'!$B$10:$B$17,$B633,'High_Low Voltage Mix Summary'!$F$10:$F$17),""))</f>
        <v/>
      </c>
      <c r="Y139" s="44" t="str">
        <f>IF($P139="Low",$T139,IF($P139="Mix",SUMIF('High_Low Voltage Mix Summary'!$B$10:$B$17,$B633,'High_Low Voltage Mix Summary'!$G$10:$G$17),""))</f>
        <v/>
      </c>
      <c r="Z139" s="44" t="str">
        <f>IF(OR($P139="High",$P139="Low"),"",IF($P139="Mix",SUMIF('High_Low Voltage Mix Summary'!$B$10:$B$17,$B633,'High_Low Voltage Mix Summary'!$H$10:$H$17),""))</f>
        <v/>
      </c>
      <c r="AB139" s="49">
        <f>SUMIF('Antelope Bailey Split BA'!$B$7:$B$29,B139,'Antelope Bailey Split BA'!$C$7:$C$29)</f>
        <v>0</v>
      </c>
      <c r="AC139" s="49" t="str">
        <f>IF(AND(AB139=1,'Plant Total by Account'!$H$1=2),"EKWRA","")</f>
        <v/>
      </c>
    </row>
    <row r="140" spans="1:29" x14ac:dyDescent="0.2">
      <c r="A140" s="39" t="s">
        <v>2691</v>
      </c>
      <c r="B140" s="40" t="s">
        <v>238</v>
      </c>
      <c r="C140" s="40" t="s">
        <v>3334</v>
      </c>
      <c r="D140" s="53">
        <v>0</v>
      </c>
      <c r="E140" s="53">
        <v>49795.29</v>
      </c>
      <c r="F140" s="53">
        <v>908111.41</v>
      </c>
      <c r="G140" s="578">
        <f t="shared" si="27"/>
        <v>957906.70000000007</v>
      </c>
      <c r="H140" s="41"/>
      <c r="I140" s="41"/>
      <c r="J140" s="41"/>
      <c r="K140" s="41">
        <f t="shared" si="21"/>
        <v>0</v>
      </c>
      <c r="L140" s="41">
        <f t="shared" si="22"/>
        <v>49795.29</v>
      </c>
      <c r="M140" s="41">
        <f t="shared" si="23"/>
        <v>908111.41</v>
      </c>
      <c r="N140" s="363">
        <f t="shared" si="28"/>
        <v>0</v>
      </c>
      <c r="O140" s="43" t="s">
        <v>3309</v>
      </c>
      <c r="P140" s="43"/>
      <c r="R140" s="41">
        <f t="shared" si="24"/>
        <v>0</v>
      </c>
      <c r="S140" s="41">
        <f t="shared" si="25"/>
        <v>0</v>
      </c>
      <c r="T140" s="41">
        <f t="shared" si="26"/>
        <v>0</v>
      </c>
      <c r="U140" s="41"/>
      <c r="V140" s="44" t="str">
        <f>IF($P140="High",$S140,IF($P140="Mix",SUMIF('High_Low Voltage Mix Summary'!$B$10:$B$17,$B91,'High_Low Voltage Mix Summary'!$D$10:$D$17),""))</f>
        <v/>
      </c>
      <c r="W140" s="44" t="str">
        <f>IF($P140="Low",$S140,IF($P140="Mix",SUMIF('High_Low Voltage Mix Summary'!$B$10:$B$17,$B91,'High_Low Voltage Mix Summary'!$E$10:$E$17),""))</f>
        <v/>
      </c>
      <c r="X140" s="44" t="str">
        <f>IF($P140="High",$T140,IF($P140="Mix",SUMIF('High_Low Voltage Mix Summary'!$B$10:$B$17,$B91,'High_Low Voltage Mix Summary'!$F$10:$F$17),""))</f>
        <v/>
      </c>
      <c r="Y140" s="44" t="str">
        <f>IF($P140="Low",$T140,IF($P140="Mix",SUMIF('High_Low Voltage Mix Summary'!$B$10:$B$17,$B91,'High_Low Voltage Mix Summary'!$G$10:$G$17),""))</f>
        <v/>
      </c>
      <c r="Z140" s="44" t="str">
        <f>IF(OR($P140="High",$P140="Low"),"",IF($P140="Mix",SUMIF('High_Low Voltage Mix Summary'!$B$10:$B$17,$B91,'High_Low Voltage Mix Summary'!$H$10:$H$17),""))</f>
        <v/>
      </c>
      <c r="AB140" s="49">
        <f>SUMIF('Antelope Bailey Split BA'!$B$7:$B$29,B140,'Antelope Bailey Split BA'!$C$7:$C$29)</f>
        <v>0</v>
      </c>
      <c r="AC140" s="49" t="str">
        <f>IF(AND(AB140=1,'Plant Total by Account'!$H$1=2),"EKWRA","")</f>
        <v/>
      </c>
    </row>
    <row r="141" spans="1:29" x14ac:dyDescent="0.2">
      <c r="A141" s="39" t="s">
        <v>2692</v>
      </c>
      <c r="B141" s="40" t="s">
        <v>239</v>
      </c>
      <c r="C141" s="40" t="s">
        <v>3333</v>
      </c>
      <c r="D141" s="53">
        <v>21259.49</v>
      </c>
      <c r="E141" s="53">
        <v>49677.189999999995</v>
      </c>
      <c r="F141" s="53">
        <v>869313.85999999987</v>
      </c>
      <c r="G141" s="578">
        <f t="shared" si="27"/>
        <v>940250.5399999998</v>
      </c>
      <c r="H141" s="41"/>
      <c r="I141" s="41"/>
      <c r="J141" s="41"/>
      <c r="K141" s="41">
        <f t="shared" si="21"/>
        <v>21259.49</v>
      </c>
      <c r="L141" s="41">
        <f t="shared" si="22"/>
        <v>49677.189999999995</v>
      </c>
      <c r="M141" s="41">
        <f t="shared" si="23"/>
        <v>869313.85999999987</v>
      </c>
      <c r="N141" s="363">
        <f t="shared" si="28"/>
        <v>0</v>
      </c>
      <c r="O141" s="43" t="s">
        <v>3309</v>
      </c>
      <c r="P141" s="43"/>
      <c r="R141" s="41">
        <f t="shared" si="24"/>
        <v>0</v>
      </c>
      <c r="S141" s="41">
        <f t="shared" si="25"/>
        <v>0</v>
      </c>
      <c r="T141" s="41">
        <f t="shared" si="26"/>
        <v>0</v>
      </c>
      <c r="U141" s="41"/>
      <c r="V141" s="44" t="str">
        <f>IF($P141="High",$S141,IF($P141="Mix",SUMIF('High_Low Voltage Mix Summary'!$B$10:$B$17,$B92,'High_Low Voltage Mix Summary'!$D$10:$D$17),""))</f>
        <v/>
      </c>
      <c r="W141" s="44" t="str">
        <f>IF($P141="Low",$S141,IF($P141="Mix",SUMIF('High_Low Voltage Mix Summary'!$B$10:$B$17,$B92,'High_Low Voltage Mix Summary'!$E$10:$E$17),""))</f>
        <v/>
      </c>
      <c r="X141" s="44" t="str">
        <f>IF($P141="High",$T141,IF($P141="Mix",SUMIF('High_Low Voltage Mix Summary'!$B$10:$B$17,$B92,'High_Low Voltage Mix Summary'!$F$10:$F$17),""))</f>
        <v/>
      </c>
      <c r="Y141" s="44" t="str">
        <f>IF($P141="Low",$T141,IF($P141="Mix",SUMIF('High_Low Voltage Mix Summary'!$B$10:$B$17,$B92,'High_Low Voltage Mix Summary'!$G$10:$G$17),""))</f>
        <v/>
      </c>
      <c r="Z141" s="44" t="str">
        <f>IF(OR($P141="High",$P141="Low"),"",IF($P141="Mix",SUMIF('High_Low Voltage Mix Summary'!$B$10:$B$17,$B92,'High_Low Voltage Mix Summary'!$H$10:$H$17),""))</f>
        <v/>
      </c>
      <c r="AB141" s="49">
        <f>SUMIF('Antelope Bailey Split BA'!$B$7:$B$29,B141,'Antelope Bailey Split BA'!$C$7:$C$29)</f>
        <v>0</v>
      </c>
      <c r="AC141" s="49" t="str">
        <f>IF(AND(AB141=1,'Plant Total by Account'!$H$1=2),"EKWRA","")</f>
        <v/>
      </c>
    </row>
    <row r="142" spans="1:29" x14ac:dyDescent="0.2">
      <c r="A142" s="39" t="s">
        <v>2693</v>
      </c>
      <c r="B142" s="40" t="s">
        <v>240</v>
      </c>
      <c r="C142" s="40" t="s">
        <v>3334</v>
      </c>
      <c r="D142" s="53">
        <v>52686.68</v>
      </c>
      <c r="E142" s="53">
        <v>174650.77000000002</v>
      </c>
      <c r="F142" s="53">
        <v>3554291.7299999991</v>
      </c>
      <c r="G142" s="578">
        <f t="shared" si="27"/>
        <v>3781629.1799999992</v>
      </c>
      <c r="H142" s="41"/>
      <c r="I142" s="41"/>
      <c r="J142" s="41"/>
      <c r="K142" s="41">
        <f t="shared" si="21"/>
        <v>52686.68</v>
      </c>
      <c r="L142" s="41">
        <f t="shared" si="22"/>
        <v>174650.77000000002</v>
      </c>
      <c r="M142" s="41">
        <f t="shared" si="23"/>
        <v>3554291.7299999991</v>
      </c>
      <c r="N142" s="363">
        <f t="shared" si="28"/>
        <v>0</v>
      </c>
      <c r="O142" s="43" t="s">
        <v>3309</v>
      </c>
      <c r="P142" s="43"/>
      <c r="R142" s="41">
        <f t="shared" si="24"/>
        <v>0</v>
      </c>
      <c r="S142" s="41">
        <f t="shared" si="25"/>
        <v>0</v>
      </c>
      <c r="T142" s="41">
        <f t="shared" si="26"/>
        <v>0</v>
      </c>
      <c r="U142" s="41"/>
      <c r="V142" s="44" t="str">
        <f>IF($P142="High",$S142,IF($P142="Mix",SUMIF('High_Low Voltage Mix Summary'!$B$10:$B$17,$B634,'High_Low Voltage Mix Summary'!$D$10:$D$17),""))</f>
        <v/>
      </c>
      <c r="W142" s="44" t="str">
        <f>IF($P142="Low",$S142,IF($P142="Mix",SUMIF('High_Low Voltage Mix Summary'!$B$10:$B$17,$B634,'High_Low Voltage Mix Summary'!$E$10:$E$17),""))</f>
        <v/>
      </c>
      <c r="X142" s="44" t="str">
        <f>IF($P142="High",$T142,IF($P142="Mix",SUMIF('High_Low Voltage Mix Summary'!$B$10:$B$17,$B634,'High_Low Voltage Mix Summary'!$F$10:$F$17),""))</f>
        <v/>
      </c>
      <c r="Y142" s="44" t="str">
        <f>IF($P142="Low",$T142,IF($P142="Mix",SUMIF('High_Low Voltage Mix Summary'!$B$10:$B$17,$B634,'High_Low Voltage Mix Summary'!$G$10:$G$17),""))</f>
        <v/>
      </c>
      <c r="Z142" s="44" t="str">
        <f>IF(OR($P142="High",$P142="Low"),"",IF($P142="Mix",SUMIF('High_Low Voltage Mix Summary'!$B$10:$B$17,$B634,'High_Low Voltage Mix Summary'!$H$10:$H$17),""))</f>
        <v/>
      </c>
      <c r="AB142" s="49">
        <f>SUMIF('Antelope Bailey Split BA'!$B$7:$B$29,B142,'Antelope Bailey Split BA'!$C$7:$C$29)</f>
        <v>0</v>
      </c>
      <c r="AC142" s="49" t="str">
        <f>IF(AND(AB142=1,'Plant Total by Account'!$H$1=2),"EKWRA","")</f>
        <v/>
      </c>
    </row>
    <row r="143" spans="1:29" x14ac:dyDescent="0.2">
      <c r="A143" s="39" t="s">
        <v>2694</v>
      </c>
      <c r="B143" s="40" t="s">
        <v>2695</v>
      </c>
      <c r="C143" s="40" t="s">
        <v>3334</v>
      </c>
      <c r="D143" s="53">
        <v>0</v>
      </c>
      <c r="E143" s="53">
        <v>2079020.72</v>
      </c>
      <c r="F143" s="53">
        <v>10979039.33</v>
      </c>
      <c r="G143" s="578">
        <f t="shared" si="27"/>
        <v>13058060.050000001</v>
      </c>
      <c r="H143" s="41"/>
      <c r="I143" s="41"/>
      <c r="J143" s="41"/>
      <c r="K143" s="41">
        <f t="shared" ref="K143:K206" si="29">D143</f>
        <v>0</v>
      </c>
      <c r="L143" s="41">
        <f t="shared" ref="L143:L206" si="30">E143</f>
        <v>2079020.72</v>
      </c>
      <c r="M143" s="41">
        <f t="shared" ref="M143:M206" si="31">F143</f>
        <v>10979039.33</v>
      </c>
      <c r="N143" s="363">
        <f t="shared" si="28"/>
        <v>0</v>
      </c>
      <c r="O143" s="43" t="s">
        <v>3309</v>
      </c>
      <c r="P143" s="43"/>
      <c r="R143" s="41">
        <f t="shared" si="24"/>
        <v>0</v>
      </c>
      <c r="S143" s="41">
        <f t="shared" si="25"/>
        <v>0</v>
      </c>
      <c r="T143" s="41">
        <f t="shared" si="26"/>
        <v>0</v>
      </c>
      <c r="U143" s="41"/>
      <c r="V143" s="44" t="str">
        <f>IF($P143="High",$S143,IF($P143="Mix",SUMIF('High_Low Voltage Mix Summary'!$B$10:$B$17,$B93,'High_Low Voltage Mix Summary'!$D$10:$D$17),""))</f>
        <v/>
      </c>
      <c r="W143" s="44" t="str">
        <f>IF($P143="Low",$S143,IF($P143="Mix",SUMIF('High_Low Voltage Mix Summary'!$B$10:$B$17,$B93,'High_Low Voltage Mix Summary'!$E$10:$E$17),""))</f>
        <v/>
      </c>
      <c r="X143" s="44" t="str">
        <f>IF($P143="High",$T143,IF($P143="Mix",SUMIF('High_Low Voltage Mix Summary'!$B$10:$B$17,$B93,'High_Low Voltage Mix Summary'!$F$10:$F$17),""))</f>
        <v/>
      </c>
      <c r="Y143" s="44" t="str">
        <f>IF($P143="Low",$T143,IF($P143="Mix",SUMIF('High_Low Voltage Mix Summary'!$B$10:$B$17,$B93,'High_Low Voltage Mix Summary'!$G$10:$G$17),""))</f>
        <v/>
      </c>
      <c r="Z143" s="44" t="str">
        <f>IF(OR($P143="High",$P143="Low"),"",IF($P143="Mix",SUMIF('High_Low Voltage Mix Summary'!$B$10:$B$17,$B93,'High_Low Voltage Mix Summary'!$H$10:$H$17),""))</f>
        <v/>
      </c>
      <c r="AB143" s="49">
        <f>SUMIF('Antelope Bailey Split BA'!$B$7:$B$29,B143,'Antelope Bailey Split BA'!$C$7:$C$29)</f>
        <v>0</v>
      </c>
      <c r="AC143" s="49" t="str">
        <f>IF(AND(AB143=1,'Plant Total by Account'!$H$1=2),"EKWRA","")</f>
        <v/>
      </c>
    </row>
    <row r="144" spans="1:29" x14ac:dyDescent="0.2">
      <c r="A144" s="39" t="s">
        <v>2412</v>
      </c>
      <c r="B144" s="133" t="s">
        <v>241</v>
      </c>
      <c r="C144" s="40" t="s">
        <v>3334</v>
      </c>
      <c r="D144" s="53">
        <v>0</v>
      </c>
      <c r="E144" s="53">
        <v>0</v>
      </c>
      <c r="F144" s="53">
        <v>19939.62</v>
      </c>
      <c r="G144" s="578">
        <f t="shared" si="27"/>
        <v>19939.62</v>
      </c>
      <c r="H144" s="41"/>
      <c r="I144" s="41"/>
      <c r="J144" s="41"/>
      <c r="K144" s="41">
        <f t="shared" si="29"/>
        <v>0</v>
      </c>
      <c r="L144" s="41">
        <f t="shared" si="30"/>
        <v>0</v>
      </c>
      <c r="M144" s="41">
        <f t="shared" si="31"/>
        <v>19939.62</v>
      </c>
      <c r="N144" s="363">
        <f t="shared" si="28"/>
        <v>0</v>
      </c>
      <c r="O144" s="43" t="s">
        <v>3309</v>
      </c>
      <c r="P144" s="43"/>
      <c r="R144" s="41">
        <f t="shared" si="24"/>
        <v>0</v>
      </c>
      <c r="S144" s="41">
        <f t="shared" si="25"/>
        <v>0</v>
      </c>
      <c r="T144" s="41">
        <f t="shared" si="26"/>
        <v>0</v>
      </c>
      <c r="U144" s="41"/>
      <c r="V144" s="44" t="str">
        <f>IF($P144="High",$S144,IF($P144="Mix",SUMIF('High_Low Voltage Mix Summary'!$B$10:$B$17,$B94,'High_Low Voltage Mix Summary'!$D$10:$D$17),""))</f>
        <v/>
      </c>
      <c r="W144" s="44" t="str">
        <f>IF($P144="Low",$S144,IF($P144="Mix",SUMIF('High_Low Voltage Mix Summary'!$B$10:$B$17,$B94,'High_Low Voltage Mix Summary'!$E$10:$E$17),""))</f>
        <v/>
      </c>
      <c r="X144" s="44" t="str">
        <f>IF($P144="High",$T144,IF($P144="Mix",SUMIF('High_Low Voltage Mix Summary'!$B$10:$B$17,$B94,'High_Low Voltage Mix Summary'!$F$10:$F$17),""))</f>
        <v/>
      </c>
      <c r="Y144" s="44" t="str">
        <f>IF($P144="Low",$T144,IF($P144="Mix",SUMIF('High_Low Voltage Mix Summary'!$B$10:$B$17,$B94,'High_Low Voltage Mix Summary'!$G$10:$G$17),""))</f>
        <v/>
      </c>
      <c r="Z144" s="44" t="str">
        <f>IF(OR($P144="High",$P144="Low"),"",IF($P144="Mix",SUMIF('High_Low Voltage Mix Summary'!$B$10:$B$17,$B94,'High_Low Voltage Mix Summary'!$H$10:$H$17),""))</f>
        <v/>
      </c>
      <c r="AB144" s="49">
        <f>SUMIF('Antelope Bailey Split BA'!$B$7:$B$29,B144,'Antelope Bailey Split BA'!$C$7:$C$29)</f>
        <v>0</v>
      </c>
      <c r="AC144" s="49" t="str">
        <f>IF(AND(AB144=1,'Plant Total by Account'!$H$1=2),"EKWRA","")</f>
        <v/>
      </c>
    </row>
    <row r="145" spans="1:29" x14ac:dyDescent="0.2">
      <c r="A145" s="39" t="s">
        <v>2696</v>
      </c>
      <c r="B145" s="40" t="s">
        <v>242</v>
      </c>
      <c r="C145" s="40" t="s">
        <v>3334</v>
      </c>
      <c r="D145" s="53">
        <v>20819</v>
      </c>
      <c r="E145" s="53">
        <v>177054.57</v>
      </c>
      <c r="F145" s="53">
        <v>5325662.4400000023</v>
      </c>
      <c r="G145" s="578">
        <f t="shared" si="27"/>
        <v>5523536.0100000026</v>
      </c>
      <c r="H145" s="41"/>
      <c r="I145" s="41"/>
      <c r="J145" s="41"/>
      <c r="K145" s="41">
        <f t="shared" si="29"/>
        <v>20819</v>
      </c>
      <c r="L145" s="41">
        <f t="shared" si="30"/>
        <v>177054.57</v>
      </c>
      <c r="M145" s="41">
        <f t="shared" si="31"/>
        <v>5325662.4400000023</v>
      </c>
      <c r="N145" s="363">
        <f t="shared" si="28"/>
        <v>0</v>
      </c>
      <c r="O145" s="43" t="s">
        <v>3309</v>
      </c>
      <c r="P145" s="43"/>
      <c r="R145" s="41">
        <f t="shared" si="24"/>
        <v>0</v>
      </c>
      <c r="S145" s="41">
        <f t="shared" si="25"/>
        <v>0</v>
      </c>
      <c r="T145" s="41">
        <f t="shared" si="26"/>
        <v>0</v>
      </c>
      <c r="U145" s="41"/>
      <c r="V145" s="44" t="str">
        <f>IF($P145="High",$S145,IF($P145="Mix",SUMIF('High_Low Voltage Mix Summary'!$B$10:$B$17,$B94,'High_Low Voltage Mix Summary'!$D$10:$D$17),""))</f>
        <v/>
      </c>
      <c r="W145" s="44" t="str">
        <f>IF($P145="Low",$S145,IF($P145="Mix",SUMIF('High_Low Voltage Mix Summary'!$B$10:$B$17,$B94,'High_Low Voltage Mix Summary'!$E$10:$E$17),""))</f>
        <v/>
      </c>
      <c r="X145" s="44" t="str">
        <f>IF($P145="High",$T145,IF($P145="Mix",SUMIF('High_Low Voltage Mix Summary'!$B$10:$B$17,$B94,'High_Low Voltage Mix Summary'!$F$10:$F$17),""))</f>
        <v/>
      </c>
      <c r="Y145" s="44" t="str">
        <f>IF($P145="Low",$T145,IF($P145="Mix",SUMIF('High_Low Voltage Mix Summary'!$B$10:$B$17,$B94,'High_Low Voltage Mix Summary'!$G$10:$G$17),""))</f>
        <v/>
      </c>
      <c r="Z145" s="44" t="str">
        <f>IF(OR($P145="High",$P145="Low"),"",IF($P145="Mix",SUMIF('High_Low Voltage Mix Summary'!$B$10:$B$17,$B94,'High_Low Voltage Mix Summary'!$H$10:$H$17),""))</f>
        <v/>
      </c>
      <c r="AB145" s="49">
        <f>SUMIF('Antelope Bailey Split BA'!$B$7:$B$29,B145,'Antelope Bailey Split BA'!$C$7:$C$29)</f>
        <v>0</v>
      </c>
      <c r="AC145" s="49" t="str">
        <f>IF(AND(AB145=1,'Plant Total by Account'!$H$1=2),"EKWRA","")</f>
        <v/>
      </c>
    </row>
    <row r="146" spans="1:29" x14ac:dyDescent="0.2">
      <c r="A146" s="39" t="s">
        <v>2697</v>
      </c>
      <c r="B146" s="40" t="s">
        <v>243</v>
      </c>
      <c r="C146" s="40" t="s">
        <v>3334</v>
      </c>
      <c r="D146" s="53">
        <v>829.91</v>
      </c>
      <c r="E146" s="53">
        <v>0</v>
      </c>
      <c r="F146" s="53">
        <v>0</v>
      </c>
      <c r="G146" s="578">
        <f t="shared" si="27"/>
        <v>829.91</v>
      </c>
      <c r="H146" s="41"/>
      <c r="I146" s="41"/>
      <c r="J146" s="41"/>
      <c r="K146" s="41">
        <f t="shared" si="29"/>
        <v>829.91</v>
      </c>
      <c r="L146" s="41">
        <f t="shared" si="30"/>
        <v>0</v>
      </c>
      <c r="M146" s="41">
        <f t="shared" si="31"/>
        <v>0</v>
      </c>
      <c r="N146" s="363">
        <f t="shared" si="28"/>
        <v>0</v>
      </c>
      <c r="O146" s="43" t="s">
        <v>3309</v>
      </c>
      <c r="P146" s="43"/>
      <c r="R146" s="41">
        <f t="shared" si="24"/>
        <v>0</v>
      </c>
      <c r="S146" s="41">
        <f t="shared" si="25"/>
        <v>0</v>
      </c>
      <c r="T146" s="41">
        <f t="shared" si="26"/>
        <v>0</v>
      </c>
      <c r="U146" s="41"/>
      <c r="V146" s="44" t="str">
        <f>IF($P146="High",$S146,IF($P146="Mix",SUMIF('High_Low Voltage Mix Summary'!$B$10:$B$17,$B95,'High_Low Voltage Mix Summary'!$D$10:$D$17),""))</f>
        <v/>
      </c>
      <c r="W146" s="44" t="str">
        <f>IF($P146="Low",$S146,IF($P146="Mix",SUMIF('High_Low Voltage Mix Summary'!$B$10:$B$17,$B95,'High_Low Voltage Mix Summary'!$E$10:$E$17),""))</f>
        <v/>
      </c>
      <c r="X146" s="44" t="str">
        <f>IF($P146="High",$T146,IF($P146="Mix",SUMIF('High_Low Voltage Mix Summary'!$B$10:$B$17,$B95,'High_Low Voltage Mix Summary'!$F$10:$F$17),""))</f>
        <v/>
      </c>
      <c r="Y146" s="44" t="str">
        <f>IF($P146="Low",$T146,IF($P146="Mix",SUMIF('High_Low Voltage Mix Summary'!$B$10:$B$17,$B95,'High_Low Voltage Mix Summary'!$G$10:$G$17),""))</f>
        <v/>
      </c>
      <c r="Z146" s="44" t="str">
        <f>IF(OR($P146="High",$P146="Low"),"",IF($P146="Mix",SUMIF('High_Low Voltage Mix Summary'!$B$10:$B$17,$B95,'High_Low Voltage Mix Summary'!$H$10:$H$17),""))</f>
        <v/>
      </c>
      <c r="AB146" s="49">
        <f>SUMIF('Antelope Bailey Split BA'!$B$7:$B$29,B146,'Antelope Bailey Split BA'!$C$7:$C$29)</f>
        <v>0</v>
      </c>
      <c r="AC146" s="49" t="str">
        <f>IF(AND(AB146=1,'Plant Total by Account'!$H$1=2),"EKWRA","")</f>
        <v/>
      </c>
    </row>
    <row r="147" spans="1:29" x14ac:dyDescent="0.2">
      <c r="A147" s="39" t="s">
        <v>2698</v>
      </c>
      <c r="B147" s="40" t="s">
        <v>244</v>
      </c>
      <c r="C147" s="40" t="s">
        <v>3334</v>
      </c>
      <c r="D147" s="53">
        <v>0</v>
      </c>
      <c r="E147" s="53">
        <v>29887.49</v>
      </c>
      <c r="F147" s="53">
        <v>1939389.1300000004</v>
      </c>
      <c r="G147" s="578">
        <f t="shared" si="27"/>
        <v>1969276.6200000003</v>
      </c>
      <c r="H147" s="41"/>
      <c r="I147" s="41"/>
      <c r="J147" s="41"/>
      <c r="K147" s="41">
        <f t="shared" si="29"/>
        <v>0</v>
      </c>
      <c r="L147" s="41">
        <f t="shared" si="30"/>
        <v>29887.49</v>
      </c>
      <c r="M147" s="41">
        <f t="shared" si="31"/>
        <v>1939389.1300000004</v>
      </c>
      <c r="N147" s="363">
        <f t="shared" si="28"/>
        <v>0</v>
      </c>
      <c r="O147" s="43" t="s">
        <v>3309</v>
      </c>
      <c r="P147" s="43"/>
      <c r="R147" s="41">
        <f t="shared" si="24"/>
        <v>0</v>
      </c>
      <c r="S147" s="41">
        <f t="shared" si="25"/>
        <v>0</v>
      </c>
      <c r="T147" s="41">
        <f t="shared" si="26"/>
        <v>0</v>
      </c>
      <c r="U147" s="41"/>
      <c r="V147" s="44" t="str">
        <f>IF($P147="High",$S147,IF($P147="Mix",SUMIF('High_Low Voltage Mix Summary'!$B$10:$B$17,$B96,'High_Low Voltage Mix Summary'!$D$10:$D$17),""))</f>
        <v/>
      </c>
      <c r="W147" s="44" t="str">
        <f>IF($P147="Low",$S147,IF($P147="Mix",SUMIF('High_Low Voltage Mix Summary'!$B$10:$B$17,$B96,'High_Low Voltage Mix Summary'!$E$10:$E$17),""))</f>
        <v/>
      </c>
      <c r="X147" s="44" t="str">
        <f>IF($P147="High",$T147,IF($P147="Mix",SUMIF('High_Low Voltage Mix Summary'!$B$10:$B$17,$B96,'High_Low Voltage Mix Summary'!$F$10:$F$17),""))</f>
        <v/>
      </c>
      <c r="Y147" s="44" t="str">
        <f>IF($P147="Low",$T147,IF($P147="Mix",SUMIF('High_Low Voltage Mix Summary'!$B$10:$B$17,$B96,'High_Low Voltage Mix Summary'!$G$10:$G$17),""))</f>
        <v/>
      </c>
      <c r="Z147" s="44" t="str">
        <f>IF(OR($P147="High",$P147="Low"),"",IF($P147="Mix",SUMIF('High_Low Voltage Mix Summary'!$B$10:$B$17,$B96,'High_Low Voltage Mix Summary'!$H$10:$H$17),""))</f>
        <v/>
      </c>
      <c r="AB147" s="49">
        <f>SUMIF('Antelope Bailey Split BA'!$B$7:$B$29,B147,'Antelope Bailey Split BA'!$C$7:$C$29)</f>
        <v>0</v>
      </c>
      <c r="AC147" s="49" t="str">
        <f>IF(AND(AB147=1,'Plant Total by Account'!$H$1=2),"EKWRA","")</f>
        <v/>
      </c>
    </row>
    <row r="148" spans="1:29" x14ac:dyDescent="0.2">
      <c r="A148" s="39" t="s">
        <v>2699</v>
      </c>
      <c r="B148" s="40" t="s">
        <v>245</v>
      </c>
      <c r="C148" s="40" t="s">
        <v>3333</v>
      </c>
      <c r="D148" s="53">
        <v>4274.58</v>
      </c>
      <c r="E148" s="53">
        <v>28372.080000000002</v>
      </c>
      <c r="F148" s="53">
        <v>1482169.7400000002</v>
      </c>
      <c r="G148" s="578">
        <f t="shared" si="27"/>
        <v>1514816.4000000001</v>
      </c>
      <c r="H148" s="41"/>
      <c r="I148" s="41"/>
      <c r="J148" s="41"/>
      <c r="K148" s="41">
        <f t="shared" si="29"/>
        <v>4274.58</v>
      </c>
      <c r="L148" s="41">
        <f t="shared" si="30"/>
        <v>28372.080000000002</v>
      </c>
      <c r="M148" s="41">
        <f t="shared" si="31"/>
        <v>1482169.7400000002</v>
      </c>
      <c r="N148" s="363">
        <f t="shared" si="28"/>
        <v>0</v>
      </c>
      <c r="O148" s="43" t="s">
        <v>3309</v>
      </c>
      <c r="P148" s="43"/>
      <c r="R148" s="41">
        <f t="shared" si="24"/>
        <v>0</v>
      </c>
      <c r="S148" s="41">
        <f t="shared" si="25"/>
        <v>0</v>
      </c>
      <c r="T148" s="41">
        <f t="shared" si="26"/>
        <v>0</v>
      </c>
      <c r="U148" s="41"/>
      <c r="V148" s="44" t="str">
        <f>IF($P148="High",$S148,IF($P148="Mix",SUMIF('High_Low Voltage Mix Summary'!$B$10:$B$17,$B97,'High_Low Voltage Mix Summary'!$D$10:$D$17),""))</f>
        <v/>
      </c>
      <c r="W148" s="44" t="str">
        <f>IF($P148="Low",$S148,IF($P148="Mix",SUMIF('High_Low Voltage Mix Summary'!$B$10:$B$17,$B97,'High_Low Voltage Mix Summary'!$E$10:$E$17),""))</f>
        <v/>
      </c>
      <c r="X148" s="44" t="str">
        <f>IF($P148="High",$T148,IF($P148="Mix",SUMIF('High_Low Voltage Mix Summary'!$B$10:$B$17,$B97,'High_Low Voltage Mix Summary'!$F$10:$F$17),""))</f>
        <v/>
      </c>
      <c r="Y148" s="44" t="str">
        <f>IF($P148="Low",$T148,IF($P148="Mix",SUMIF('High_Low Voltage Mix Summary'!$B$10:$B$17,$B97,'High_Low Voltage Mix Summary'!$G$10:$G$17),""))</f>
        <v/>
      </c>
      <c r="Z148" s="44" t="str">
        <f>IF(OR($P148="High",$P148="Low"),"",IF($P148="Mix",SUMIF('High_Low Voltage Mix Summary'!$B$10:$B$17,$B97,'High_Low Voltage Mix Summary'!$H$10:$H$17),""))</f>
        <v/>
      </c>
      <c r="AB148" s="49">
        <f>SUMIF('Antelope Bailey Split BA'!$B$7:$B$29,B148,'Antelope Bailey Split BA'!$C$7:$C$29)</f>
        <v>0</v>
      </c>
      <c r="AC148" s="49" t="str">
        <f>IF(AND(AB148=1,'Plant Total by Account'!$H$1=2),"EKWRA","")</f>
        <v/>
      </c>
    </row>
    <row r="149" spans="1:29" x14ac:dyDescent="0.2">
      <c r="A149" s="39" t="s">
        <v>2700</v>
      </c>
      <c r="B149" s="40" t="s">
        <v>246</v>
      </c>
      <c r="C149" s="40" t="s">
        <v>3334</v>
      </c>
      <c r="D149" s="53">
        <v>25036.35</v>
      </c>
      <c r="E149" s="53">
        <v>283682.60999999993</v>
      </c>
      <c r="F149" s="53">
        <v>6638392.4099999983</v>
      </c>
      <c r="G149" s="578">
        <f t="shared" si="27"/>
        <v>6947111.3699999982</v>
      </c>
      <c r="H149" s="41"/>
      <c r="I149" s="41"/>
      <c r="J149" s="41"/>
      <c r="K149" s="41">
        <f t="shared" si="29"/>
        <v>25036.35</v>
      </c>
      <c r="L149" s="41">
        <f t="shared" si="30"/>
        <v>283682.60999999993</v>
      </c>
      <c r="M149" s="41">
        <f t="shared" si="31"/>
        <v>6638392.4099999983</v>
      </c>
      <c r="N149" s="363">
        <f t="shared" si="28"/>
        <v>0</v>
      </c>
      <c r="O149" s="43" t="s">
        <v>3309</v>
      </c>
      <c r="P149" s="43"/>
      <c r="R149" s="41">
        <f t="shared" si="24"/>
        <v>0</v>
      </c>
      <c r="S149" s="41">
        <f t="shared" si="25"/>
        <v>0</v>
      </c>
      <c r="T149" s="41">
        <f t="shared" si="26"/>
        <v>0</v>
      </c>
      <c r="U149" s="41"/>
      <c r="V149" s="44" t="str">
        <f>IF($P149="High",$S149,IF($P149="Mix",SUMIF('High_Low Voltage Mix Summary'!$B$10:$B$17,$B635,'High_Low Voltage Mix Summary'!$D$10:$D$17),""))</f>
        <v/>
      </c>
      <c r="W149" s="44" t="str">
        <f>IF($P149="Low",$S149,IF($P149="Mix",SUMIF('High_Low Voltage Mix Summary'!$B$10:$B$17,$B635,'High_Low Voltage Mix Summary'!$E$10:$E$17),""))</f>
        <v/>
      </c>
      <c r="X149" s="44" t="str">
        <f>IF($P149="High",$T149,IF($P149="Mix",SUMIF('High_Low Voltage Mix Summary'!$B$10:$B$17,$B635,'High_Low Voltage Mix Summary'!$F$10:$F$17),""))</f>
        <v/>
      </c>
      <c r="Y149" s="44" t="str">
        <f>IF($P149="Low",$T149,IF($P149="Mix",SUMIF('High_Low Voltage Mix Summary'!$B$10:$B$17,$B635,'High_Low Voltage Mix Summary'!$G$10:$G$17),""))</f>
        <v/>
      </c>
      <c r="Z149" s="44" t="str">
        <f>IF(OR($P149="High",$P149="Low"),"",IF($P149="Mix",SUMIF('High_Low Voltage Mix Summary'!$B$10:$B$17,$B635,'High_Low Voltage Mix Summary'!$H$10:$H$17),""))</f>
        <v/>
      </c>
      <c r="AB149" s="49">
        <f>SUMIF('Antelope Bailey Split BA'!$B$7:$B$29,B149,'Antelope Bailey Split BA'!$C$7:$C$29)</f>
        <v>0</v>
      </c>
      <c r="AC149" s="49" t="str">
        <f>IF(AND(AB149=1,'Plant Total by Account'!$H$1=2),"EKWRA","")</f>
        <v/>
      </c>
    </row>
    <row r="150" spans="1:29" x14ac:dyDescent="0.2">
      <c r="A150" s="39" t="s">
        <v>2413</v>
      </c>
      <c r="B150" s="40" t="s">
        <v>247</v>
      </c>
      <c r="C150" s="40" t="s">
        <v>3334</v>
      </c>
      <c r="D150" s="53">
        <v>65892.290000000008</v>
      </c>
      <c r="E150" s="53">
        <v>170715.38</v>
      </c>
      <c r="F150" s="53">
        <v>3803325.0900000017</v>
      </c>
      <c r="G150" s="578">
        <f t="shared" si="27"/>
        <v>4039932.7600000016</v>
      </c>
      <c r="H150" s="41"/>
      <c r="I150" s="41"/>
      <c r="J150" s="41"/>
      <c r="K150" s="41">
        <f t="shared" si="29"/>
        <v>65892.290000000008</v>
      </c>
      <c r="L150" s="41">
        <f t="shared" si="30"/>
        <v>170715.38</v>
      </c>
      <c r="M150" s="41">
        <f t="shared" si="31"/>
        <v>3803325.0900000017</v>
      </c>
      <c r="N150" s="363">
        <f t="shared" si="28"/>
        <v>0</v>
      </c>
      <c r="O150" s="43" t="s">
        <v>3309</v>
      </c>
      <c r="P150" s="43"/>
      <c r="R150" s="41">
        <f t="shared" si="24"/>
        <v>0</v>
      </c>
      <c r="S150" s="41">
        <f t="shared" si="25"/>
        <v>0</v>
      </c>
      <c r="T150" s="41">
        <f t="shared" si="26"/>
        <v>0</v>
      </c>
      <c r="U150" s="41"/>
      <c r="V150" s="44" t="str">
        <f>IF($P150="High",$S150,IF($P150="Mix",SUMIF('High_Low Voltage Mix Summary'!$B$10:$B$17,$B98,'High_Low Voltage Mix Summary'!$D$10:$D$17),""))</f>
        <v/>
      </c>
      <c r="W150" s="44" t="str">
        <f>IF($P150="Low",$S150,IF($P150="Mix",SUMIF('High_Low Voltage Mix Summary'!$B$10:$B$17,$B98,'High_Low Voltage Mix Summary'!$E$10:$E$17),""))</f>
        <v/>
      </c>
      <c r="X150" s="44" t="str">
        <f>IF($P150="High",$T150,IF($P150="Mix",SUMIF('High_Low Voltage Mix Summary'!$B$10:$B$17,$B98,'High_Low Voltage Mix Summary'!$F$10:$F$17),""))</f>
        <v/>
      </c>
      <c r="Y150" s="44" t="str">
        <f>IF($P150="Low",$T150,IF($P150="Mix",SUMIF('High_Low Voltage Mix Summary'!$B$10:$B$17,$B98,'High_Low Voltage Mix Summary'!$G$10:$G$17),""))</f>
        <v/>
      </c>
      <c r="Z150" s="44" t="str">
        <f>IF(OR($P150="High",$P150="Low"),"",IF($P150="Mix",SUMIF('High_Low Voltage Mix Summary'!$B$10:$B$17,$B98,'High_Low Voltage Mix Summary'!$H$10:$H$17),""))</f>
        <v/>
      </c>
      <c r="AB150" s="49">
        <f>SUMIF('Antelope Bailey Split BA'!$B$7:$B$29,B150,'Antelope Bailey Split BA'!$C$7:$C$29)</f>
        <v>0</v>
      </c>
      <c r="AC150" s="49" t="str">
        <f>IF(AND(AB150=1,'Plant Total by Account'!$H$1=2),"EKWRA","")</f>
        <v/>
      </c>
    </row>
    <row r="151" spans="1:29" x14ac:dyDescent="0.2">
      <c r="A151" s="39" t="s">
        <v>2414</v>
      </c>
      <c r="B151" s="40" t="s">
        <v>248</v>
      </c>
      <c r="C151" s="40" t="s">
        <v>3334</v>
      </c>
      <c r="D151" s="53">
        <v>24040.74</v>
      </c>
      <c r="E151" s="53">
        <v>117996.96</v>
      </c>
      <c r="F151" s="53">
        <v>6886824.5799999982</v>
      </c>
      <c r="G151" s="578">
        <f t="shared" si="27"/>
        <v>7028862.2799999984</v>
      </c>
      <c r="H151" s="41"/>
      <c r="I151" s="41"/>
      <c r="J151" s="41"/>
      <c r="K151" s="41">
        <f t="shared" si="29"/>
        <v>24040.74</v>
      </c>
      <c r="L151" s="41">
        <f t="shared" si="30"/>
        <v>117996.96</v>
      </c>
      <c r="M151" s="41">
        <f t="shared" si="31"/>
        <v>6886824.5799999982</v>
      </c>
      <c r="N151" s="363">
        <f t="shared" si="28"/>
        <v>0</v>
      </c>
      <c r="O151" s="43" t="s">
        <v>3309</v>
      </c>
      <c r="P151" s="43"/>
      <c r="R151" s="41">
        <f t="shared" si="24"/>
        <v>0</v>
      </c>
      <c r="S151" s="41">
        <f t="shared" si="25"/>
        <v>0</v>
      </c>
      <c r="T151" s="41">
        <f t="shared" si="26"/>
        <v>0</v>
      </c>
      <c r="U151" s="41"/>
      <c r="V151" s="44" t="str">
        <f>IF($P151="High",$S151,IF($P151="Mix",SUMIF('High_Low Voltage Mix Summary'!$B$10:$B$17,$B99,'High_Low Voltage Mix Summary'!$D$10:$D$17),""))</f>
        <v/>
      </c>
      <c r="W151" s="44" t="str">
        <f>IF($P151="Low",$S151,IF($P151="Mix",SUMIF('High_Low Voltage Mix Summary'!$B$10:$B$17,$B99,'High_Low Voltage Mix Summary'!$E$10:$E$17),""))</f>
        <v/>
      </c>
      <c r="X151" s="44" t="str">
        <f>IF($P151="High",$T151,IF($P151="Mix",SUMIF('High_Low Voltage Mix Summary'!$B$10:$B$17,$B99,'High_Low Voltage Mix Summary'!$F$10:$F$17),""))</f>
        <v/>
      </c>
      <c r="Y151" s="44" t="str">
        <f>IF($P151="Low",$T151,IF($P151="Mix",SUMIF('High_Low Voltage Mix Summary'!$B$10:$B$17,$B99,'High_Low Voltage Mix Summary'!$G$10:$G$17),""))</f>
        <v/>
      </c>
      <c r="Z151" s="44" t="str">
        <f>IF(OR($P151="High",$P151="Low"),"",IF($P151="Mix",SUMIF('High_Low Voltage Mix Summary'!$B$10:$B$17,$B99,'High_Low Voltage Mix Summary'!$H$10:$H$17),""))</f>
        <v/>
      </c>
      <c r="AB151" s="49">
        <f>SUMIF('Antelope Bailey Split BA'!$B$7:$B$29,B151,'Antelope Bailey Split BA'!$C$7:$C$29)</f>
        <v>0</v>
      </c>
      <c r="AC151" s="49" t="str">
        <f>IF(AND(AB151=1,'Plant Total by Account'!$H$1=2),"EKWRA","")</f>
        <v/>
      </c>
    </row>
    <row r="152" spans="1:29" x14ac:dyDescent="0.2">
      <c r="A152" s="39" t="s">
        <v>2701</v>
      </c>
      <c r="B152" s="40" t="s">
        <v>249</v>
      </c>
      <c r="C152" s="40" t="s">
        <v>3333</v>
      </c>
      <c r="D152" s="53">
        <v>2658.99</v>
      </c>
      <c r="E152" s="53">
        <v>2774899.2399999998</v>
      </c>
      <c r="F152" s="53">
        <v>1665182.9800000002</v>
      </c>
      <c r="G152" s="578">
        <f t="shared" si="27"/>
        <v>4442741.21</v>
      </c>
      <c r="H152" s="41"/>
      <c r="I152" s="41"/>
      <c r="J152" s="41"/>
      <c r="K152" s="41">
        <f t="shared" si="29"/>
        <v>2658.99</v>
      </c>
      <c r="L152" s="41">
        <f t="shared" si="30"/>
        <v>2774899.2399999998</v>
      </c>
      <c r="M152" s="41">
        <f t="shared" si="31"/>
        <v>1665182.9800000002</v>
      </c>
      <c r="N152" s="363">
        <f t="shared" si="28"/>
        <v>0</v>
      </c>
      <c r="O152" s="43" t="s">
        <v>3309</v>
      </c>
      <c r="P152" s="43"/>
      <c r="R152" s="41">
        <f t="shared" si="24"/>
        <v>0</v>
      </c>
      <c r="S152" s="41">
        <f t="shared" si="25"/>
        <v>0</v>
      </c>
      <c r="T152" s="41">
        <f t="shared" si="26"/>
        <v>0</v>
      </c>
      <c r="U152" s="41"/>
      <c r="V152" s="44" t="str">
        <f>IF($P152="High",$S152,IF($P152="Mix",SUMIF('High_Low Voltage Mix Summary'!$B$10:$B$17,$B100,'High_Low Voltage Mix Summary'!$D$10:$D$17),""))</f>
        <v/>
      </c>
      <c r="W152" s="44" t="str">
        <f>IF($P152="Low",$S152,IF($P152="Mix",SUMIF('High_Low Voltage Mix Summary'!$B$10:$B$17,$B100,'High_Low Voltage Mix Summary'!$E$10:$E$17),""))</f>
        <v/>
      </c>
      <c r="X152" s="44" t="str">
        <f>IF($P152="High",$T152,IF($P152="Mix",SUMIF('High_Low Voltage Mix Summary'!$B$10:$B$17,$B100,'High_Low Voltage Mix Summary'!$F$10:$F$17),""))</f>
        <v/>
      </c>
      <c r="Y152" s="44" t="str">
        <f>IF($P152="Low",$T152,IF($P152="Mix",SUMIF('High_Low Voltage Mix Summary'!$B$10:$B$17,$B100,'High_Low Voltage Mix Summary'!$G$10:$G$17),""))</f>
        <v/>
      </c>
      <c r="Z152" s="44" t="str">
        <f>IF(OR($P152="High",$P152="Low"),"",IF($P152="Mix",SUMIF('High_Low Voltage Mix Summary'!$B$10:$B$17,$B100,'High_Low Voltage Mix Summary'!$H$10:$H$17),""))</f>
        <v/>
      </c>
      <c r="AB152" s="49">
        <f>SUMIF('Antelope Bailey Split BA'!$B$7:$B$29,B152,'Antelope Bailey Split BA'!$C$7:$C$29)</f>
        <v>0</v>
      </c>
      <c r="AC152" s="49" t="str">
        <f>IF(AND(AB152=1,'Plant Total by Account'!$H$1=2),"EKWRA","")</f>
        <v/>
      </c>
    </row>
    <row r="153" spans="1:29" x14ac:dyDescent="0.2">
      <c r="A153" s="39" t="s">
        <v>2702</v>
      </c>
      <c r="B153" s="40" t="s">
        <v>250</v>
      </c>
      <c r="C153" s="40" t="s">
        <v>3334</v>
      </c>
      <c r="D153" s="53">
        <v>2385.61</v>
      </c>
      <c r="E153" s="53">
        <v>334732.86000000004</v>
      </c>
      <c r="F153" s="53">
        <v>4160965.2699999996</v>
      </c>
      <c r="G153" s="578">
        <f t="shared" si="27"/>
        <v>4498083.7399999993</v>
      </c>
      <c r="H153" s="41"/>
      <c r="I153" s="41"/>
      <c r="J153" s="41"/>
      <c r="K153" s="41">
        <f t="shared" si="29"/>
        <v>2385.61</v>
      </c>
      <c r="L153" s="41">
        <f t="shared" si="30"/>
        <v>334732.86000000004</v>
      </c>
      <c r="M153" s="41">
        <f t="shared" si="31"/>
        <v>4160965.2699999996</v>
      </c>
      <c r="N153" s="363">
        <f t="shared" si="28"/>
        <v>0</v>
      </c>
      <c r="O153" s="43" t="s">
        <v>3309</v>
      </c>
      <c r="P153" s="43"/>
      <c r="R153" s="41">
        <f t="shared" si="24"/>
        <v>0</v>
      </c>
      <c r="S153" s="41">
        <f t="shared" si="25"/>
        <v>0</v>
      </c>
      <c r="T153" s="41">
        <f t="shared" si="26"/>
        <v>0</v>
      </c>
      <c r="U153" s="41"/>
      <c r="V153" s="44" t="str">
        <f>IF($P153="High",$S153,IF($P153="Mix",SUMIF('High_Low Voltage Mix Summary'!$B$10:$B$17,$B636,'High_Low Voltage Mix Summary'!$D$10:$D$17),""))</f>
        <v/>
      </c>
      <c r="W153" s="44" t="str">
        <f>IF($P153="Low",$S153,IF($P153="Mix",SUMIF('High_Low Voltage Mix Summary'!$B$10:$B$17,$B636,'High_Low Voltage Mix Summary'!$E$10:$E$17),""))</f>
        <v/>
      </c>
      <c r="X153" s="44" t="str">
        <f>IF($P153="High",$T153,IF($P153="Mix",SUMIF('High_Low Voltage Mix Summary'!$B$10:$B$17,$B636,'High_Low Voltage Mix Summary'!$F$10:$F$17),""))</f>
        <v/>
      </c>
      <c r="Y153" s="44" t="str">
        <f>IF($P153="Low",$T153,IF($P153="Mix",SUMIF('High_Low Voltage Mix Summary'!$B$10:$B$17,$B636,'High_Low Voltage Mix Summary'!$G$10:$G$17),""))</f>
        <v/>
      </c>
      <c r="Z153" s="44" t="str">
        <f>IF(OR($P153="High",$P153="Low"),"",IF($P153="Mix",SUMIF('High_Low Voltage Mix Summary'!$B$10:$B$17,$B636,'High_Low Voltage Mix Summary'!$H$10:$H$17),""))</f>
        <v/>
      </c>
      <c r="AB153" s="49">
        <f>SUMIF('Antelope Bailey Split BA'!$B$7:$B$29,B153,'Antelope Bailey Split BA'!$C$7:$C$29)</f>
        <v>0</v>
      </c>
      <c r="AC153" s="49" t="str">
        <f>IF(AND(AB153=1,'Plant Total by Account'!$H$1=2),"EKWRA","")</f>
        <v/>
      </c>
    </row>
    <row r="154" spans="1:29" x14ac:dyDescent="0.2">
      <c r="A154" s="39" t="s">
        <v>2703</v>
      </c>
      <c r="B154" s="45" t="s">
        <v>251</v>
      </c>
      <c r="C154" s="40" t="s">
        <v>3334</v>
      </c>
      <c r="D154" s="53">
        <v>27863.99</v>
      </c>
      <c r="E154" s="53">
        <v>18821.62</v>
      </c>
      <c r="F154" s="53">
        <v>900737.09000000055</v>
      </c>
      <c r="G154" s="578">
        <f t="shared" si="27"/>
        <v>947422.70000000054</v>
      </c>
      <c r="H154" s="41"/>
      <c r="I154" s="41"/>
      <c r="J154" s="41"/>
      <c r="K154" s="41">
        <f t="shared" si="29"/>
        <v>27863.99</v>
      </c>
      <c r="L154" s="41">
        <f t="shared" si="30"/>
        <v>18821.62</v>
      </c>
      <c r="M154" s="41">
        <f t="shared" si="31"/>
        <v>900737.09000000055</v>
      </c>
      <c r="N154" s="363">
        <f t="shared" si="28"/>
        <v>0</v>
      </c>
      <c r="O154" s="43" t="s">
        <v>3309</v>
      </c>
      <c r="P154" s="43"/>
      <c r="R154" s="41">
        <f t="shared" si="24"/>
        <v>0</v>
      </c>
      <c r="S154" s="41">
        <f t="shared" si="25"/>
        <v>0</v>
      </c>
      <c r="T154" s="41">
        <f t="shared" si="26"/>
        <v>0</v>
      </c>
      <c r="U154" s="41"/>
      <c r="V154" s="44" t="str">
        <f>IF($P154="High",$S154,IF($P154="Mix",SUMIF('High_Low Voltage Mix Summary'!$B$10:$B$17,$B101,'High_Low Voltage Mix Summary'!$D$10:$D$17),""))</f>
        <v/>
      </c>
      <c r="W154" s="44" t="str">
        <f>IF($P154="Low",$S154,IF($P154="Mix",SUMIF('High_Low Voltage Mix Summary'!$B$10:$B$17,$B101,'High_Low Voltage Mix Summary'!$E$10:$E$17),""))</f>
        <v/>
      </c>
      <c r="X154" s="44" t="str">
        <f>IF($P154="High",$T154,IF($P154="Mix",SUMIF('High_Low Voltage Mix Summary'!$B$10:$B$17,$B101,'High_Low Voltage Mix Summary'!$F$10:$F$17),""))</f>
        <v/>
      </c>
      <c r="Y154" s="44" t="str">
        <f>IF($P154="Low",$T154,IF($P154="Mix",SUMIF('High_Low Voltage Mix Summary'!$B$10:$B$17,$B101,'High_Low Voltage Mix Summary'!$G$10:$G$17),""))</f>
        <v/>
      </c>
      <c r="Z154" s="44" t="str">
        <f>IF(OR($P154="High",$P154="Low"),"",IF($P154="Mix",SUMIF('High_Low Voltage Mix Summary'!$B$10:$B$17,$B101,'High_Low Voltage Mix Summary'!$H$10:$H$17),""))</f>
        <v/>
      </c>
      <c r="AB154" s="49">
        <f>SUMIF('Antelope Bailey Split BA'!$B$7:$B$29,B154,'Antelope Bailey Split BA'!$C$7:$C$29)</f>
        <v>0</v>
      </c>
      <c r="AC154" s="49" t="str">
        <f>IF(AND(AB154=1,'Plant Total by Account'!$H$1=2),"EKWRA","")</f>
        <v/>
      </c>
    </row>
    <row r="155" spans="1:29" x14ac:dyDescent="0.2">
      <c r="A155" s="39" t="s">
        <v>2704</v>
      </c>
      <c r="B155" s="45" t="s">
        <v>252</v>
      </c>
      <c r="C155" s="40" t="s">
        <v>3334</v>
      </c>
      <c r="D155" s="53">
        <v>32824.89</v>
      </c>
      <c r="E155" s="53">
        <v>47014.130000000005</v>
      </c>
      <c r="F155" s="53">
        <v>3183179.0199999991</v>
      </c>
      <c r="G155" s="578">
        <f t="shared" si="27"/>
        <v>3263018.0399999991</v>
      </c>
      <c r="H155" s="41"/>
      <c r="I155" s="41"/>
      <c r="J155" s="41"/>
      <c r="K155" s="41">
        <f t="shared" si="29"/>
        <v>32824.89</v>
      </c>
      <c r="L155" s="41">
        <f t="shared" si="30"/>
        <v>47014.130000000005</v>
      </c>
      <c r="M155" s="41">
        <f t="shared" si="31"/>
        <v>3183179.0199999991</v>
      </c>
      <c r="N155" s="363">
        <f t="shared" si="28"/>
        <v>0</v>
      </c>
      <c r="O155" s="43" t="s">
        <v>3309</v>
      </c>
      <c r="P155" s="43"/>
      <c r="R155" s="41">
        <f t="shared" si="24"/>
        <v>0</v>
      </c>
      <c r="S155" s="41">
        <f t="shared" si="25"/>
        <v>0</v>
      </c>
      <c r="T155" s="41">
        <f t="shared" si="26"/>
        <v>0</v>
      </c>
      <c r="U155" s="41"/>
      <c r="V155" s="44" t="str">
        <f>IF($P155="High",$S155,IF($P155="Mix",SUMIF('High_Low Voltage Mix Summary'!$B$10:$B$17,$B102,'High_Low Voltage Mix Summary'!$D$10:$D$17),""))</f>
        <v/>
      </c>
      <c r="W155" s="44" t="str">
        <f>IF($P155="Low",$S155,IF($P155="Mix",SUMIF('High_Low Voltage Mix Summary'!$B$10:$B$17,$B102,'High_Low Voltage Mix Summary'!$E$10:$E$17),""))</f>
        <v/>
      </c>
      <c r="X155" s="44" t="str">
        <f>IF($P155="High",$T155,IF($P155="Mix",SUMIF('High_Low Voltage Mix Summary'!$B$10:$B$17,$B102,'High_Low Voltage Mix Summary'!$F$10:$F$17),""))</f>
        <v/>
      </c>
      <c r="Y155" s="44" t="str">
        <f>IF($P155="Low",$T155,IF($P155="Mix",SUMIF('High_Low Voltage Mix Summary'!$B$10:$B$17,$B102,'High_Low Voltage Mix Summary'!$G$10:$G$17),""))</f>
        <v/>
      </c>
      <c r="Z155" s="44" t="str">
        <f>IF(OR($P155="High",$P155="Low"),"",IF($P155="Mix",SUMIF('High_Low Voltage Mix Summary'!$B$10:$B$17,$B102,'High_Low Voltage Mix Summary'!$H$10:$H$17),""))</f>
        <v/>
      </c>
      <c r="AB155" s="49">
        <f>SUMIF('Antelope Bailey Split BA'!$B$7:$B$29,B155,'Antelope Bailey Split BA'!$C$7:$C$29)</f>
        <v>0</v>
      </c>
      <c r="AC155" s="49" t="str">
        <f>IF(AND(AB155=1,'Plant Total by Account'!$H$1=2),"EKWRA","")</f>
        <v/>
      </c>
    </row>
    <row r="156" spans="1:29" x14ac:dyDescent="0.2">
      <c r="A156" s="39" t="s">
        <v>2705</v>
      </c>
      <c r="B156" s="45" t="s">
        <v>253</v>
      </c>
      <c r="C156" s="40" t="s">
        <v>3334</v>
      </c>
      <c r="D156" s="53">
        <v>72232.320000000007</v>
      </c>
      <c r="E156" s="53">
        <v>51027.21</v>
      </c>
      <c r="F156" s="53">
        <v>2032239.0600000005</v>
      </c>
      <c r="G156" s="578">
        <f t="shared" si="27"/>
        <v>2155498.5900000003</v>
      </c>
      <c r="H156" s="41"/>
      <c r="I156" s="41"/>
      <c r="J156" s="41"/>
      <c r="K156" s="41">
        <f t="shared" si="29"/>
        <v>72232.320000000007</v>
      </c>
      <c r="L156" s="41">
        <f t="shared" si="30"/>
        <v>51027.21</v>
      </c>
      <c r="M156" s="41">
        <f t="shared" si="31"/>
        <v>2032239.0600000005</v>
      </c>
      <c r="N156" s="363">
        <f t="shared" si="28"/>
        <v>0</v>
      </c>
      <c r="O156" s="43" t="s">
        <v>3309</v>
      </c>
      <c r="P156" s="43"/>
      <c r="R156" s="41">
        <f t="shared" si="24"/>
        <v>0</v>
      </c>
      <c r="S156" s="41">
        <f t="shared" si="25"/>
        <v>0</v>
      </c>
      <c r="T156" s="41">
        <f t="shared" si="26"/>
        <v>0</v>
      </c>
      <c r="U156" s="41"/>
      <c r="V156" s="44" t="str">
        <f>IF($P156="High",$S156,IF($P156="Mix",SUMIF('High_Low Voltage Mix Summary'!$B$10:$B$17,$B103,'High_Low Voltage Mix Summary'!$D$10:$D$17),""))</f>
        <v/>
      </c>
      <c r="W156" s="44" t="str">
        <f>IF($P156="Low",$S156,IF($P156="Mix",SUMIF('High_Low Voltage Mix Summary'!$B$10:$B$17,$B103,'High_Low Voltage Mix Summary'!$E$10:$E$17),""))</f>
        <v/>
      </c>
      <c r="X156" s="44" t="str">
        <f>IF($P156="High",$T156,IF($P156="Mix",SUMIF('High_Low Voltage Mix Summary'!$B$10:$B$17,$B103,'High_Low Voltage Mix Summary'!$F$10:$F$17),""))</f>
        <v/>
      </c>
      <c r="Y156" s="44" t="str">
        <f>IF($P156="Low",$T156,IF($P156="Mix",SUMIF('High_Low Voltage Mix Summary'!$B$10:$B$17,$B103,'High_Low Voltage Mix Summary'!$G$10:$G$17),""))</f>
        <v/>
      </c>
      <c r="Z156" s="44" t="str">
        <f>IF(OR($P156="High",$P156="Low"),"",IF($P156="Mix",SUMIF('High_Low Voltage Mix Summary'!$B$10:$B$17,$B103,'High_Low Voltage Mix Summary'!$H$10:$H$17),""))</f>
        <v/>
      </c>
      <c r="AB156" s="49">
        <f>SUMIF('Antelope Bailey Split BA'!$B$7:$B$29,B156,'Antelope Bailey Split BA'!$C$7:$C$29)</f>
        <v>0</v>
      </c>
      <c r="AC156" s="49" t="str">
        <f>IF(AND(AB156=1,'Plant Total by Account'!$H$1=2),"EKWRA","")</f>
        <v/>
      </c>
    </row>
    <row r="157" spans="1:29" x14ac:dyDescent="0.2">
      <c r="A157" s="39" t="s">
        <v>2706</v>
      </c>
      <c r="B157" s="45" t="s">
        <v>254</v>
      </c>
      <c r="C157" s="40" t="s">
        <v>3334</v>
      </c>
      <c r="D157" s="53">
        <v>54374.25</v>
      </c>
      <c r="E157" s="53">
        <v>116354.95999999999</v>
      </c>
      <c r="F157" s="53">
        <v>2765136.290000001</v>
      </c>
      <c r="G157" s="578">
        <f t="shared" si="27"/>
        <v>2935865.5000000009</v>
      </c>
      <c r="H157" s="41"/>
      <c r="I157" s="41"/>
      <c r="J157" s="41"/>
      <c r="K157" s="41">
        <f t="shared" si="29"/>
        <v>54374.25</v>
      </c>
      <c r="L157" s="41">
        <f t="shared" si="30"/>
        <v>116354.95999999999</v>
      </c>
      <c r="M157" s="41">
        <f t="shared" si="31"/>
        <v>2765136.290000001</v>
      </c>
      <c r="N157" s="363">
        <f t="shared" si="28"/>
        <v>0</v>
      </c>
      <c r="O157" s="43" t="s">
        <v>3309</v>
      </c>
      <c r="P157" s="43"/>
      <c r="R157" s="41">
        <f t="shared" si="24"/>
        <v>0</v>
      </c>
      <c r="S157" s="41">
        <f t="shared" si="25"/>
        <v>0</v>
      </c>
      <c r="T157" s="41">
        <f t="shared" si="26"/>
        <v>0</v>
      </c>
      <c r="U157" s="41"/>
      <c r="V157" s="44" t="str">
        <f>IF($P157="High",$S157,IF($P157="Mix",SUMIF('High_Low Voltage Mix Summary'!$B$10:$B$17,$B104,'High_Low Voltage Mix Summary'!$D$10:$D$17),""))</f>
        <v/>
      </c>
      <c r="W157" s="44" t="str">
        <f>IF($P157="Low",$S157,IF($P157="Mix",SUMIF('High_Low Voltage Mix Summary'!$B$10:$B$17,$B104,'High_Low Voltage Mix Summary'!$E$10:$E$17),""))</f>
        <v/>
      </c>
      <c r="X157" s="44" t="str">
        <f>IF($P157="High",$T157,IF($P157="Mix",SUMIF('High_Low Voltage Mix Summary'!$B$10:$B$17,$B104,'High_Low Voltage Mix Summary'!$F$10:$F$17),""))</f>
        <v/>
      </c>
      <c r="Y157" s="44" t="str">
        <f>IF($P157="Low",$T157,IF($P157="Mix",SUMIF('High_Low Voltage Mix Summary'!$B$10:$B$17,$B104,'High_Low Voltage Mix Summary'!$G$10:$G$17),""))</f>
        <v/>
      </c>
      <c r="Z157" s="44" t="str">
        <f>IF(OR($P157="High",$P157="Low"),"",IF($P157="Mix",SUMIF('High_Low Voltage Mix Summary'!$B$10:$B$17,$B104,'High_Low Voltage Mix Summary'!$H$10:$H$17),""))</f>
        <v/>
      </c>
      <c r="AB157" s="49">
        <f>SUMIF('Antelope Bailey Split BA'!$B$7:$B$29,B157,'Antelope Bailey Split BA'!$C$7:$C$29)</f>
        <v>0</v>
      </c>
      <c r="AC157" s="49" t="str">
        <f>IF(AND(AB157=1,'Plant Total by Account'!$H$1=2),"EKWRA","")</f>
        <v/>
      </c>
    </row>
    <row r="158" spans="1:29" x14ac:dyDescent="0.2">
      <c r="A158" s="39" t="s">
        <v>2707</v>
      </c>
      <c r="B158" s="45" t="s">
        <v>255</v>
      </c>
      <c r="C158" s="40" t="s">
        <v>3334</v>
      </c>
      <c r="D158" s="53">
        <v>0</v>
      </c>
      <c r="E158" s="53">
        <v>32976.01</v>
      </c>
      <c r="F158" s="53">
        <v>756898.20999999985</v>
      </c>
      <c r="G158" s="578">
        <f t="shared" si="27"/>
        <v>789874.21999999986</v>
      </c>
      <c r="H158" s="41"/>
      <c r="I158" s="41"/>
      <c r="J158" s="41"/>
      <c r="K158" s="41">
        <f t="shared" si="29"/>
        <v>0</v>
      </c>
      <c r="L158" s="41">
        <f t="shared" si="30"/>
        <v>32976.01</v>
      </c>
      <c r="M158" s="41">
        <f t="shared" si="31"/>
        <v>756898.20999999985</v>
      </c>
      <c r="N158" s="363">
        <f t="shared" si="28"/>
        <v>0</v>
      </c>
      <c r="O158" s="43" t="s">
        <v>3309</v>
      </c>
      <c r="P158" s="43"/>
      <c r="R158" s="41">
        <f t="shared" si="24"/>
        <v>0</v>
      </c>
      <c r="S158" s="41">
        <f t="shared" si="25"/>
        <v>0</v>
      </c>
      <c r="T158" s="41">
        <f t="shared" si="26"/>
        <v>0</v>
      </c>
      <c r="U158" s="41"/>
      <c r="V158" s="44" t="str">
        <f>IF($P158="High",$S158,IF($P158="Mix",SUMIF('High_Low Voltage Mix Summary'!$B$10:$B$17,$B105,'High_Low Voltage Mix Summary'!$D$10:$D$17),""))</f>
        <v/>
      </c>
      <c r="W158" s="44" t="str">
        <f>IF($P158="Low",$S158,IF($P158="Mix",SUMIF('High_Low Voltage Mix Summary'!$B$10:$B$17,$B105,'High_Low Voltage Mix Summary'!$E$10:$E$17),""))</f>
        <v/>
      </c>
      <c r="X158" s="44" t="str">
        <f>IF($P158="High",$T158,IF($P158="Mix",SUMIF('High_Low Voltage Mix Summary'!$B$10:$B$17,$B105,'High_Low Voltage Mix Summary'!$F$10:$F$17),""))</f>
        <v/>
      </c>
      <c r="Y158" s="44" t="str">
        <f>IF($P158="Low",$T158,IF($P158="Mix",SUMIF('High_Low Voltage Mix Summary'!$B$10:$B$17,$B105,'High_Low Voltage Mix Summary'!$G$10:$G$17),""))</f>
        <v/>
      </c>
      <c r="Z158" s="44" t="str">
        <f>IF(OR($P158="High",$P158="Low"),"",IF($P158="Mix",SUMIF('High_Low Voltage Mix Summary'!$B$10:$B$17,$B105,'High_Low Voltage Mix Summary'!$H$10:$H$17),""))</f>
        <v/>
      </c>
      <c r="AB158" s="49">
        <f>SUMIF('Antelope Bailey Split BA'!$B$7:$B$29,B158,'Antelope Bailey Split BA'!$C$7:$C$29)</f>
        <v>0</v>
      </c>
      <c r="AC158" s="49" t="str">
        <f>IF(AND(AB158=1,'Plant Total by Account'!$H$1=2),"EKWRA","")</f>
        <v/>
      </c>
    </row>
    <row r="159" spans="1:29" x14ac:dyDescent="0.2">
      <c r="A159" s="39" t="s">
        <v>2708</v>
      </c>
      <c r="B159" s="45" t="s">
        <v>256</v>
      </c>
      <c r="C159" s="40" t="s">
        <v>3334</v>
      </c>
      <c r="D159" s="53">
        <v>1219.51</v>
      </c>
      <c r="E159" s="53">
        <v>127235.55</v>
      </c>
      <c r="F159" s="53">
        <v>2240340.75</v>
      </c>
      <c r="G159" s="578">
        <f t="shared" si="27"/>
        <v>2368795.81</v>
      </c>
      <c r="H159" s="41"/>
      <c r="I159" s="41"/>
      <c r="J159" s="41"/>
      <c r="K159" s="41">
        <f t="shared" si="29"/>
        <v>1219.51</v>
      </c>
      <c r="L159" s="41">
        <f t="shared" si="30"/>
        <v>127235.55</v>
      </c>
      <c r="M159" s="41">
        <f t="shared" si="31"/>
        <v>2240340.75</v>
      </c>
      <c r="N159" s="363">
        <f t="shared" si="28"/>
        <v>0</v>
      </c>
      <c r="O159" s="43" t="s">
        <v>3309</v>
      </c>
      <c r="P159" s="43"/>
      <c r="R159" s="41">
        <f t="shared" si="24"/>
        <v>0</v>
      </c>
      <c r="S159" s="41">
        <f t="shared" si="25"/>
        <v>0</v>
      </c>
      <c r="T159" s="41">
        <f t="shared" si="26"/>
        <v>0</v>
      </c>
      <c r="U159" s="41"/>
      <c r="V159" s="44" t="str">
        <f>IF($P159="High",$S159,IF($P159="Mix",SUMIF('High_Low Voltage Mix Summary'!$B$10:$B$17,$B561,'High_Low Voltage Mix Summary'!$D$10:$D$17),""))</f>
        <v/>
      </c>
      <c r="W159" s="44" t="str">
        <f>IF($P159="Low",$S159,IF($P159="Mix",SUMIF('High_Low Voltage Mix Summary'!$B$10:$B$17,$B561,'High_Low Voltage Mix Summary'!$E$10:$E$17),""))</f>
        <v/>
      </c>
      <c r="X159" s="44" t="str">
        <f>IF($P159="High",$T159,IF($P159="Mix",SUMIF('High_Low Voltage Mix Summary'!$B$10:$B$17,$B561,'High_Low Voltage Mix Summary'!$F$10:$F$17),""))</f>
        <v/>
      </c>
      <c r="Y159" s="44" t="str">
        <f>IF($P159="Low",$T159,IF($P159="Mix",SUMIF('High_Low Voltage Mix Summary'!$B$10:$B$17,$B561,'High_Low Voltage Mix Summary'!$G$10:$G$17),""))</f>
        <v/>
      </c>
      <c r="Z159" s="44" t="str">
        <f>IF(OR($P159="High",$P159="Low"),"",IF($P159="Mix",SUMIF('High_Low Voltage Mix Summary'!$B$10:$B$17,$B561,'High_Low Voltage Mix Summary'!$H$10:$H$17),""))</f>
        <v/>
      </c>
      <c r="AB159" s="49">
        <f>SUMIF('Antelope Bailey Split BA'!$B$7:$B$29,B159,'Antelope Bailey Split BA'!$C$7:$C$29)</f>
        <v>0</v>
      </c>
      <c r="AC159" s="49" t="str">
        <f>IF(AND(AB159=1,'Plant Total by Account'!$H$1=2),"EKWRA","")</f>
        <v/>
      </c>
    </row>
    <row r="160" spans="1:29" x14ac:dyDescent="0.2">
      <c r="A160" s="39" t="s">
        <v>2415</v>
      </c>
      <c r="B160" s="45" t="s">
        <v>257</v>
      </c>
      <c r="C160" s="40" t="s">
        <v>3334</v>
      </c>
      <c r="D160" s="53">
        <v>64449.39</v>
      </c>
      <c r="E160" s="53">
        <v>123660</v>
      </c>
      <c r="F160" s="53">
        <v>4676189.4200000037</v>
      </c>
      <c r="G160" s="578">
        <f t="shared" si="27"/>
        <v>4864298.8100000033</v>
      </c>
      <c r="H160" s="41"/>
      <c r="I160" s="41"/>
      <c r="J160" s="41"/>
      <c r="K160" s="41">
        <f t="shared" si="29"/>
        <v>64449.39</v>
      </c>
      <c r="L160" s="41">
        <f t="shared" si="30"/>
        <v>123660</v>
      </c>
      <c r="M160" s="41">
        <f t="shared" si="31"/>
        <v>4676189.4200000037</v>
      </c>
      <c r="N160" s="363">
        <f t="shared" si="28"/>
        <v>0</v>
      </c>
      <c r="O160" s="43" t="s">
        <v>3309</v>
      </c>
      <c r="P160" s="43"/>
      <c r="R160" s="41">
        <f t="shared" si="24"/>
        <v>0</v>
      </c>
      <c r="S160" s="41">
        <f t="shared" si="25"/>
        <v>0</v>
      </c>
      <c r="T160" s="41">
        <f t="shared" si="26"/>
        <v>0</v>
      </c>
      <c r="U160" s="41"/>
      <c r="V160" s="44" t="str">
        <f>IF($P160="High",$S160,IF($P160="Mix",SUMIF('High_Low Voltage Mix Summary'!$B$10:$B$17,$B106,'High_Low Voltage Mix Summary'!$D$10:$D$17),""))</f>
        <v/>
      </c>
      <c r="W160" s="44" t="str">
        <f>IF($P160="Low",$S160,IF($P160="Mix",SUMIF('High_Low Voltage Mix Summary'!$B$10:$B$17,$B106,'High_Low Voltage Mix Summary'!$E$10:$E$17),""))</f>
        <v/>
      </c>
      <c r="X160" s="44" t="str">
        <f>IF($P160="High",$T160,IF($P160="Mix",SUMIF('High_Low Voltage Mix Summary'!$B$10:$B$17,$B106,'High_Low Voltage Mix Summary'!$F$10:$F$17),""))</f>
        <v/>
      </c>
      <c r="Y160" s="44" t="str">
        <f>IF($P160="Low",$T160,IF($P160="Mix",SUMIF('High_Low Voltage Mix Summary'!$B$10:$B$17,$B106,'High_Low Voltage Mix Summary'!$G$10:$G$17),""))</f>
        <v/>
      </c>
      <c r="Z160" s="44" t="str">
        <f>IF(OR($P160="High",$P160="Low"),"",IF($P160="Mix",SUMIF('High_Low Voltage Mix Summary'!$B$10:$B$17,$B106,'High_Low Voltage Mix Summary'!$H$10:$H$17),""))</f>
        <v/>
      </c>
      <c r="AB160" s="49">
        <f>SUMIF('Antelope Bailey Split BA'!$B$7:$B$29,B160,'Antelope Bailey Split BA'!$C$7:$C$29)</f>
        <v>0</v>
      </c>
      <c r="AC160" s="49" t="str">
        <f>IF(AND(AB160=1,'Plant Total by Account'!$H$1=2),"EKWRA","")</f>
        <v/>
      </c>
    </row>
    <row r="161" spans="1:29" x14ac:dyDescent="0.2">
      <c r="A161" s="39" t="s">
        <v>1966</v>
      </c>
      <c r="B161" s="45" t="s">
        <v>258</v>
      </c>
      <c r="C161" s="40"/>
      <c r="D161" s="53">
        <v>0</v>
      </c>
      <c r="E161" s="53">
        <v>30613.48</v>
      </c>
      <c r="F161" s="53">
        <v>1965545.0200000005</v>
      </c>
      <c r="G161" s="578">
        <f t="shared" si="27"/>
        <v>1996158.5000000005</v>
      </c>
      <c r="H161" s="41"/>
      <c r="I161" s="41"/>
      <c r="J161" s="41"/>
      <c r="K161" s="41">
        <f t="shared" si="29"/>
        <v>0</v>
      </c>
      <c r="L161" s="41">
        <f t="shared" si="30"/>
        <v>30613.48</v>
      </c>
      <c r="M161" s="41">
        <f t="shared" si="31"/>
        <v>1965545.0200000005</v>
      </c>
      <c r="N161" s="363">
        <f t="shared" si="28"/>
        <v>0</v>
      </c>
      <c r="O161" s="43" t="s">
        <v>3309</v>
      </c>
      <c r="P161" s="43"/>
      <c r="R161" s="41">
        <f t="shared" si="24"/>
        <v>0</v>
      </c>
      <c r="S161" s="41">
        <f t="shared" si="25"/>
        <v>0</v>
      </c>
      <c r="T161" s="41">
        <f t="shared" si="26"/>
        <v>0</v>
      </c>
      <c r="U161" s="41"/>
      <c r="V161" s="44" t="str">
        <f>IF($P161="High",$S161,IF($P161="Mix",SUMIF('High_Low Voltage Mix Summary'!$B$10:$B$17,$B107,'High_Low Voltage Mix Summary'!$D$10:$D$17),""))</f>
        <v/>
      </c>
      <c r="W161" s="44" t="str">
        <f>IF($P161="Low",$S161,IF($P161="Mix",SUMIF('High_Low Voltage Mix Summary'!$B$10:$B$17,$B107,'High_Low Voltage Mix Summary'!$E$10:$E$17),""))</f>
        <v/>
      </c>
      <c r="X161" s="44" t="str">
        <f>IF($P161="High",$T161,IF($P161="Mix",SUMIF('High_Low Voltage Mix Summary'!$B$10:$B$17,$B107,'High_Low Voltage Mix Summary'!$F$10:$F$17),""))</f>
        <v/>
      </c>
      <c r="Y161" s="44" t="str">
        <f>IF($P161="Low",$T161,IF($P161="Mix",SUMIF('High_Low Voltage Mix Summary'!$B$10:$B$17,$B107,'High_Low Voltage Mix Summary'!$G$10:$G$17),""))</f>
        <v/>
      </c>
      <c r="Z161" s="44" t="str">
        <f>IF(OR($P161="High",$P161="Low"),"",IF($P161="Mix",SUMIF('High_Low Voltage Mix Summary'!$B$10:$B$17,$B107,'High_Low Voltage Mix Summary'!$H$10:$H$17),""))</f>
        <v/>
      </c>
      <c r="AB161" s="49">
        <f>SUMIF('Antelope Bailey Split BA'!$B$7:$B$29,B161,'Antelope Bailey Split BA'!$C$7:$C$29)</f>
        <v>0</v>
      </c>
      <c r="AC161" s="49" t="str">
        <f>IF(AND(AB161=1,'Plant Total by Account'!$H$1=2),"EKWRA","")</f>
        <v/>
      </c>
    </row>
    <row r="162" spans="1:29" x14ac:dyDescent="0.2">
      <c r="A162" s="39" t="s">
        <v>2709</v>
      </c>
      <c r="B162" s="45" t="s">
        <v>259</v>
      </c>
      <c r="C162" s="40" t="s">
        <v>3334</v>
      </c>
      <c r="D162" s="53">
        <v>351856.31</v>
      </c>
      <c r="E162" s="53">
        <v>231511.46</v>
      </c>
      <c r="F162" s="53">
        <v>8831122.9700000063</v>
      </c>
      <c r="G162" s="578">
        <f t="shared" si="27"/>
        <v>9414490.7400000058</v>
      </c>
      <c r="H162" s="41"/>
      <c r="I162" s="41"/>
      <c r="J162" s="41"/>
      <c r="K162" s="41">
        <f t="shared" si="29"/>
        <v>351856.31</v>
      </c>
      <c r="L162" s="41">
        <f t="shared" si="30"/>
        <v>231511.46</v>
      </c>
      <c r="M162" s="41">
        <f t="shared" si="31"/>
        <v>8831122.9700000063</v>
      </c>
      <c r="N162" s="363">
        <f t="shared" si="28"/>
        <v>0</v>
      </c>
      <c r="O162" s="43" t="s">
        <v>3309</v>
      </c>
      <c r="P162" s="43"/>
      <c r="R162" s="41">
        <f t="shared" si="24"/>
        <v>0</v>
      </c>
      <c r="S162" s="41">
        <f t="shared" si="25"/>
        <v>0</v>
      </c>
      <c r="T162" s="41">
        <f t="shared" si="26"/>
        <v>0</v>
      </c>
      <c r="U162" s="41"/>
      <c r="V162" s="44" t="str">
        <f>IF($P162="High",$S162,IF($P162="Mix",SUMIF('High_Low Voltage Mix Summary'!$B$10:$B$17,$B108,'High_Low Voltage Mix Summary'!$D$10:$D$17),""))</f>
        <v/>
      </c>
      <c r="W162" s="44" t="str">
        <f>IF($P162="Low",$S162,IF($P162="Mix",SUMIF('High_Low Voltage Mix Summary'!$B$10:$B$17,$B108,'High_Low Voltage Mix Summary'!$E$10:$E$17),""))</f>
        <v/>
      </c>
      <c r="X162" s="44" t="str">
        <f>IF($P162="High",$T162,IF($P162="Mix",SUMIF('High_Low Voltage Mix Summary'!$B$10:$B$17,$B108,'High_Low Voltage Mix Summary'!$F$10:$F$17),""))</f>
        <v/>
      </c>
      <c r="Y162" s="44" t="str">
        <f>IF($P162="Low",$T162,IF($P162="Mix",SUMIF('High_Low Voltage Mix Summary'!$B$10:$B$17,$B108,'High_Low Voltage Mix Summary'!$G$10:$G$17),""))</f>
        <v/>
      </c>
      <c r="Z162" s="44" t="str">
        <f>IF(OR($P162="High",$P162="Low"),"",IF($P162="Mix",SUMIF('High_Low Voltage Mix Summary'!$B$10:$B$17,$B108,'High_Low Voltage Mix Summary'!$H$10:$H$17),""))</f>
        <v/>
      </c>
      <c r="AB162" s="49">
        <f>SUMIF('Antelope Bailey Split BA'!$B$7:$B$29,B162,'Antelope Bailey Split BA'!$C$7:$C$29)</f>
        <v>0</v>
      </c>
      <c r="AC162" s="49" t="str">
        <f>IF(AND(AB162=1,'Plant Total by Account'!$H$1=2),"EKWRA","")</f>
        <v/>
      </c>
    </row>
    <row r="163" spans="1:29" x14ac:dyDescent="0.2">
      <c r="A163" s="39" t="s">
        <v>2710</v>
      </c>
      <c r="B163" s="45" t="s">
        <v>260</v>
      </c>
      <c r="C163" s="40" t="s">
        <v>3334</v>
      </c>
      <c r="D163" s="53">
        <v>865.92000000000007</v>
      </c>
      <c r="E163" s="53">
        <v>9530.06</v>
      </c>
      <c r="F163" s="53">
        <v>967769.1</v>
      </c>
      <c r="G163" s="578">
        <f t="shared" si="27"/>
        <v>978165.08</v>
      </c>
      <c r="H163" s="41"/>
      <c r="I163" s="41"/>
      <c r="J163" s="41"/>
      <c r="K163" s="41">
        <f t="shared" si="29"/>
        <v>865.92000000000007</v>
      </c>
      <c r="L163" s="41">
        <f t="shared" si="30"/>
        <v>9530.06</v>
      </c>
      <c r="M163" s="41">
        <f t="shared" si="31"/>
        <v>967769.1</v>
      </c>
      <c r="N163" s="363">
        <f t="shared" si="28"/>
        <v>0</v>
      </c>
      <c r="O163" s="43" t="s">
        <v>3309</v>
      </c>
      <c r="P163" s="43"/>
      <c r="R163" s="41">
        <f t="shared" si="24"/>
        <v>0</v>
      </c>
      <c r="S163" s="41">
        <f t="shared" si="25"/>
        <v>0</v>
      </c>
      <c r="T163" s="41">
        <f t="shared" si="26"/>
        <v>0</v>
      </c>
      <c r="U163" s="41"/>
      <c r="V163" s="44" t="str">
        <f>IF($P163="High",$S163,IF($P163="Mix",SUMIF('High_Low Voltage Mix Summary'!$B$10:$B$17,$B109,'High_Low Voltage Mix Summary'!$D$10:$D$17),""))</f>
        <v/>
      </c>
      <c r="W163" s="44" t="str">
        <f>IF($P163="Low",$S163,IF($P163="Mix",SUMIF('High_Low Voltage Mix Summary'!$B$10:$B$17,$B109,'High_Low Voltage Mix Summary'!$E$10:$E$17),""))</f>
        <v/>
      </c>
      <c r="X163" s="44" t="str">
        <f>IF($P163="High",$T163,IF($P163="Mix",SUMIF('High_Low Voltage Mix Summary'!$B$10:$B$17,$B109,'High_Low Voltage Mix Summary'!$F$10:$F$17),""))</f>
        <v/>
      </c>
      <c r="Y163" s="44" t="str">
        <f>IF($P163="Low",$T163,IF($P163="Mix",SUMIF('High_Low Voltage Mix Summary'!$B$10:$B$17,$B109,'High_Low Voltage Mix Summary'!$G$10:$G$17),""))</f>
        <v/>
      </c>
      <c r="Z163" s="44" t="str">
        <f>IF(OR($P163="High",$P163="Low"),"",IF($P163="Mix",SUMIF('High_Low Voltage Mix Summary'!$B$10:$B$17,$B109,'High_Low Voltage Mix Summary'!$H$10:$H$17),""))</f>
        <v/>
      </c>
      <c r="AB163" s="49">
        <f>SUMIF('Antelope Bailey Split BA'!$B$7:$B$29,B163,'Antelope Bailey Split BA'!$C$7:$C$29)</f>
        <v>0</v>
      </c>
      <c r="AC163" s="49" t="str">
        <f>IF(AND(AB163=1,'Plant Total by Account'!$H$1=2),"EKWRA","")</f>
        <v/>
      </c>
    </row>
    <row r="164" spans="1:29" x14ac:dyDescent="0.2">
      <c r="A164" s="39" t="s">
        <v>2711</v>
      </c>
      <c r="B164" s="45" t="s">
        <v>261</v>
      </c>
      <c r="C164" s="40" t="s">
        <v>3334</v>
      </c>
      <c r="D164" s="53">
        <v>6230.4599999999991</v>
      </c>
      <c r="E164" s="53">
        <v>200720.31</v>
      </c>
      <c r="F164" s="53">
        <v>5606809.6600000029</v>
      </c>
      <c r="G164" s="578">
        <f t="shared" si="27"/>
        <v>5813760.4300000025</v>
      </c>
      <c r="H164" s="41"/>
      <c r="I164" s="41"/>
      <c r="J164" s="41"/>
      <c r="K164" s="41">
        <f t="shared" si="29"/>
        <v>6230.4599999999991</v>
      </c>
      <c r="L164" s="41">
        <f t="shared" si="30"/>
        <v>200720.31</v>
      </c>
      <c r="M164" s="41">
        <f t="shared" si="31"/>
        <v>5606809.6600000029</v>
      </c>
      <c r="N164" s="363">
        <f t="shared" si="28"/>
        <v>0</v>
      </c>
      <c r="O164" s="43" t="s">
        <v>3309</v>
      </c>
      <c r="P164" s="43"/>
      <c r="R164" s="41">
        <f t="shared" si="24"/>
        <v>0</v>
      </c>
      <c r="S164" s="41">
        <f t="shared" si="25"/>
        <v>0</v>
      </c>
      <c r="T164" s="41">
        <f t="shared" si="26"/>
        <v>0</v>
      </c>
      <c r="U164" s="41"/>
      <c r="V164" s="44" t="str">
        <f>IF($P164="High",$S164,IF($P164="Mix",SUMIF('High_Low Voltage Mix Summary'!$B$10:$B$17,$B110,'High_Low Voltage Mix Summary'!$D$10:$D$17),""))</f>
        <v/>
      </c>
      <c r="W164" s="44" t="str">
        <f>IF($P164="Low",$S164,IF($P164="Mix",SUMIF('High_Low Voltage Mix Summary'!$B$10:$B$17,$B110,'High_Low Voltage Mix Summary'!$E$10:$E$17),""))</f>
        <v/>
      </c>
      <c r="X164" s="44" t="str">
        <f>IF($P164="High",$T164,IF($P164="Mix",SUMIF('High_Low Voltage Mix Summary'!$B$10:$B$17,$B110,'High_Low Voltage Mix Summary'!$F$10:$F$17),""))</f>
        <v/>
      </c>
      <c r="Y164" s="44" t="str">
        <f>IF($P164="Low",$T164,IF($P164="Mix",SUMIF('High_Low Voltage Mix Summary'!$B$10:$B$17,$B110,'High_Low Voltage Mix Summary'!$G$10:$G$17),""))</f>
        <v/>
      </c>
      <c r="Z164" s="44" t="str">
        <f>IF(OR($P164="High",$P164="Low"),"",IF($P164="Mix",SUMIF('High_Low Voltage Mix Summary'!$B$10:$B$17,$B110,'High_Low Voltage Mix Summary'!$H$10:$H$17),""))</f>
        <v/>
      </c>
      <c r="AB164" s="49">
        <f>SUMIF('Antelope Bailey Split BA'!$B$7:$B$29,B164,'Antelope Bailey Split BA'!$C$7:$C$29)</f>
        <v>0</v>
      </c>
      <c r="AC164" s="49" t="str">
        <f>IF(AND(AB164=1,'Plant Total by Account'!$H$1=2),"EKWRA","")</f>
        <v/>
      </c>
    </row>
    <row r="165" spans="1:29" x14ac:dyDescent="0.2">
      <c r="A165" s="39" t="s">
        <v>2712</v>
      </c>
      <c r="B165" s="45" t="s">
        <v>262</v>
      </c>
      <c r="C165" s="40" t="s">
        <v>3334</v>
      </c>
      <c r="D165" s="53">
        <v>0</v>
      </c>
      <c r="E165" s="53">
        <v>21937.72</v>
      </c>
      <c r="F165" s="53">
        <v>1087299.2600000002</v>
      </c>
      <c r="G165" s="578">
        <f t="shared" si="27"/>
        <v>1109236.9800000002</v>
      </c>
      <c r="H165" s="41"/>
      <c r="I165" s="41"/>
      <c r="J165" s="41"/>
      <c r="K165" s="41">
        <f t="shared" si="29"/>
        <v>0</v>
      </c>
      <c r="L165" s="41">
        <f t="shared" si="30"/>
        <v>21937.72</v>
      </c>
      <c r="M165" s="41">
        <f t="shared" si="31"/>
        <v>1087299.2600000002</v>
      </c>
      <c r="N165" s="363">
        <f t="shared" si="28"/>
        <v>0</v>
      </c>
      <c r="O165" s="43" t="s">
        <v>3309</v>
      </c>
      <c r="P165" s="43"/>
      <c r="R165" s="41">
        <f t="shared" si="24"/>
        <v>0</v>
      </c>
      <c r="S165" s="41">
        <f t="shared" si="25"/>
        <v>0</v>
      </c>
      <c r="T165" s="41">
        <f t="shared" si="26"/>
        <v>0</v>
      </c>
      <c r="U165" s="41"/>
      <c r="V165" s="44" t="str">
        <f>IF($P165="High",$S165,IF($P165="Mix",SUMIF('High_Low Voltage Mix Summary'!$B$10:$B$17,$B111,'High_Low Voltage Mix Summary'!$D$10:$D$17),""))</f>
        <v/>
      </c>
      <c r="W165" s="44" t="str">
        <f>IF($P165="Low",$S165,IF($P165="Mix",SUMIF('High_Low Voltage Mix Summary'!$B$10:$B$17,$B111,'High_Low Voltage Mix Summary'!$E$10:$E$17),""))</f>
        <v/>
      </c>
      <c r="X165" s="44" t="str">
        <f>IF($P165="High",$T165,IF($P165="Mix",SUMIF('High_Low Voltage Mix Summary'!$B$10:$B$17,$B111,'High_Low Voltage Mix Summary'!$F$10:$F$17),""))</f>
        <v/>
      </c>
      <c r="Y165" s="44" t="str">
        <f>IF($P165="Low",$T165,IF($P165="Mix",SUMIF('High_Low Voltage Mix Summary'!$B$10:$B$17,$B111,'High_Low Voltage Mix Summary'!$G$10:$G$17),""))</f>
        <v/>
      </c>
      <c r="Z165" s="44" t="str">
        <f>IF(OR($P165="High",$P165="Low"),"",IF($P165="Mix",SUMIF('High_Low Voltage Mix Summary'!$B$10:$B$17,$B111,'High_Low Voltage Mix Summary'!$H$10:$H$17),""))</f>
        <v/>
      </c>
      <c r="AB165" s="49">
        <f>SUMIF('Antelope Bailey Split BA'!$B$7:$B$29,B165,'Antelope Bailey Split BA'!$C$7:$C$29)</f>
        <v>0</v>
      </c>
      <c r="AC165" s="49" t="str">
        <f>IF(AND(AB165=1,'Plant Total by Account'!$H$1=2),"EKWRA","")</f>
        <v/>
      </c>
    </row>
    <row r="166" spans="1:29" x14ac:dyDescent="0.2">
      <c r="A166" s="39" t="s">
        <v>2713</v>
      </c>
      <c r="B166" s="45" t="s">
        <v>263</v>
      </c>
      <c r="C166" s="40" t="s">
        <v>3333</v>
      </c>
      <c r="D166" s="53">
        <v>2210.52</v>
      </c>
      <c r="E166" s="53">
        <v>14057.92</v>
      </c>
      <c r="F166" s="53">
        <v>724964.77999999991</v>
      </c>
      <c r="G166" s="578">
        <f t="shared" si="27"/>
        <v>741233.21999999986</v>
      </c>
      <c r="H166" s="41"/>
      <c r="I166" s="41"/>
      <c r="J166" s="41"/>
      <c r="K166" s="41">
        <f t="shared" si="29"/>
        <v>2210.52</v>
      </c>
      <c r="L166" s="41">
        <f t="shared" si="30"/>
        <v>14057.92</v>
      </c>
      <c r="M166" s="41">
        <f t="shared" si="31"/>
        <v>724964.77999999991</v>
      </c>
      <c r="N166" s="363">
        <f t="shared" si="28"/>
        <v>0</v>
      </c>
      <c r="O166" s="43" t="s">
        <v>3309</v>
      </c>
      <c r="P166" s="43"/>
      <c r="R166" s="41">
        <f t="shared" si="24"/>
        <v>0</v>
      </c>
      <c r="S166" s="41">
        <f t="shared" si="25"/>
        <v>0</v>
      </c>
      <c r="T166" s="41">
        <f t="shared" si="26"/>
        <v>0</v>
      </c>
      <c r="U166" s="41"/>
      <c r="V166" s="44" t="str">
        <f>IF($P166="High",$S166,IF($P166="Mix",SUMIF('High_Low Voltage Mix Summary'!$B$10:$B$17,$B112,'High_Low Voltage Mix Summary'!$D$10:$D$17),""))</f>
        <v/>
      </c>
      <c r="W166" s="44" t="str">
        <f>IF($P166="Low",$S166,IF($P166="Mix",SUMIF('High_Low Voltage Mix Summary'!$B$10:$B$17,$B112,'High_Low Voltage Mix Summary'!$E$10:$E$17),""))</f>
        <v/>
      </c>
      <c r="X166" s="44" t="str">
        <f>IF($P166="High",$T166,IF($P166="Mix",SUMIF('High_Low Voltage Mix Summary'!$B$10:$B$17,$B112,'High_Low Voltage Mix Summary'!$F$10:$F$17),""))</f>
        <v/>
      </c>
      <c r="Y166" s="44" t="str">
        <f>IF($P166="Low",$T166,IF($P166="Mix",SUMIF('High_Low Voltage Mix Summary'!$B$10:$B$17,$B112,'High_Low Voltage Mix Summary'!$G$10:$G$17),""))</f>
        <v/>
      </c>
      <c r="Z166" s="44" t="str">
        <f>IF(OR($P166="High",$P166="Low"),"",IF($P166="Mix",SUMIF('High_Low Voltage Mix Summary'!$B$10:$B$17,$B112,'High_Low Voltage Mix Summary'!$H$10:$H$17),""))</f>
        <v/>
      </c>
      <c r="AB166" s="49">
        <f>SUMIF('Antelope Bailey Split BA'!$B$7:$B$29,B166,'Antelope Bailey Split BA'!$C$7:$C$29)</f>
        <v>0</v>
      </c>
      <c r="AC166" s="49" t="str">
        <f>IF(AND(AB166=1,'Plant Total by Account'!$H$1=2),"EKWRA","")</f>
        <v/>
      </c>
    </row>
    <row r="167" spans="1:29" x14ac:dyDescent="0.2">
      <c r="A167" s="39" t="s">
        <v>2714</v>
      </c>
      <c r="B167" s="45" t="s">
        <v>264</v>
      </c>
      <c r="C167" s="40" t="s">
        <v>3334</v>
      </c>
      <c r="D167" s="53">
        <v>8980.9000000000015</v>
      </c>
      <c r="E167" s="53">
        <v>232610.38</v>
      </c>
      <c r="F167" s="53">
        <v>3337528.9200000018</v>
      </c>
      <c r="G167" s="578">
        <f t="shared" si="27"/>
        <v>3579120.2000000016</v>
      </c>
      <c r="H167" s="41"/>
      <c r="I167" s="41"/>
      <c r="J167" s="41"/>
      <c r="K167" s="41">
        <f t="shared" si="29"/>
        <v>8980.9000000000015</v>
      </c>
      <c r="L167" s="41">
        <f t="shared" si="30"/>
        <v>232610.38</v>
      </c>
      <c r="M167" s="41">
        <f t="shared" si="31"/>
        <v>3337528.9200000018</v>
      </c>
      <c r="N167" s="363">
        <f t="shared" si="28"/>
        <v>0</v>
      </c>
      <c r="O167" s="43" t="s">
        <v>3309</v>
      </c>
      <c r="P167" s="43"/>
      <c r="R167" s="41">
        <f t="shared" si="24"/>
        <v>0</v>
      </c>
      <c r="S167" s="41">
        <f t="shared" si="25"/>
        <v>0</v>
      </c>
      <c r="T167" s="41">
        <f t="shared" si="26"/>
        <v>0</v>
      </c>
      <c r="U167" s="41"/>
      <c r="V167" s="44" t="str">
        <f>IF($P167="High",$S167,IF($P167="Mix",SUMIF('High_Low Voltage Mix Summary'!$B$10:$B$17,$B637,'High_Low Voltage Mix Summary'!$D$10:$D$17),""))</f>
        <v/>
      </c>
      <c r="W167" s="44" t="str">
        <f>IF($P167="Low",$S167,IF($P167="Mix",SUMIF('High_Low Voltage Mix Summary'!$B$10:$B$17,$B637,'High_Low Voltage Mix Summary'!$E$10:$E$17),""))</f>
        <v/>
      </c>
      <c r="X167" s="44" t="str">
        <f>IF($P167="High",$T167,IF($P167="Mix",SUMIF('High_Low Voltage Mix Summary'!$B$10:$B$17,$B637,'High_Low Voltage Mix Summary'!$F$10:$F$17),""))</f>
        <v/>
      </c>
      <c r="Y167" s="44" t="str">
        <f>IF($P167="Low",$T167,IF($P167="Mix",SUMIF('High_Low Voltage Mix Summary'!$B$10:$B$17,$B637,'High_Low Voltage Mix Summary'!$G$10:$G$17),""))</f>
        <v/>
      </c>
      <c r="Z167" s="44" t="str">
        <f>IF(OR($P167="High",$P167="Low"),"",IF($P167="Mix",SUMIF('High_Low Voltage Mix Summary'!$B$10:$B$17,$B637,'High_Low Voltage Mix Summary'!$H$10:$H$17),""))</f>
        <v/>
      </c>
      <c r="AB167" s="49">
        <f>SUMIF('Antelope Bailey Split BA'!$B$7:$B$29,B167,'Antelope Bailey Split BA'!$C$7:$C$29)</f>
        <v>0</v>
      </c>
      <c r="AC167" s="49" t="str">
        <f>IF(AND(AB167=1,'Plant Total by Account'!$H$1=2),"EKWRA","")</f>
        <v/>
      </c>
    </row>
    <row r="168" spans="1:29" x14ac:dyDescent="0.2">
      <c r="A168" s="39" t="s">
        <v>2715</v>
      </c>
      <c r="B168" s="45" t="s">
        <v>265</v>
      </c>
      <c r="C168" s="40" t="s">
        <v>3334</v>
      </c>
      <c r="D168" s="53">
        <v>79779.010000000009</v>
      </c>
      <c r="E168" s="53">
        <v>253445.41999999998</v>
      </c>
      <c r="F168" s="53">
        <v>4536180.6400000006</v>
      </c>
      <c r="G168" s="578">
        <f t="shared" si="27"/>
        <v>4869405.07</v>
      </c>
      <c r="H168" s="41"/>
      <c r="I168" s="41"/>
      <c r="J168" s="41"/>
      <c r="K168" s="41">
        <f t="shared" si="29"/>
        <v>79779.010000000009</v>
      </c>
      <c r="L168" s="41">
        <f t="shared" si="30"/>
        <v>253445.41999999998</v>
      </c>
      <c r="M168" s="41">
        <f t="shared" si="31"/>
        <v>4536180.6400000006</v>
      </c>
      <c r="N168" s="363">
        <f t="shared" si="28"/>
        <v>0</v>
      </c>
      <c r="O168" s="43" t="s">
        <v>3309</v>
      </c>
      <c r="P168" s="43"/>
      <c r="R168" s="41">
        <f t="shared" si="24"/>
        <v>0</v>
      </c>
      <c r="S168" s="41">
        <f t="shared" si="25"/>
        <v>0</v>
      </c>
      <c r="T168" s="41">
        <f t="shared" si="26"/>
        <v>0</v>
      </c>
      <c r="U168" s="41"/>
      <c r="V168" s="44" t="str">
        <f>IF($P168="High",$S168,IF($P168="Mix",SUMIF('High_Low Voltage Mix Summary'!$B$10:$B$17,$B113,'High_Low Voltage Mix Summary'!$D$10:$D$17),""))</f>
        <v/>
      </c>
      <c r="W168" s="44" t="str">
        <f>IF($P168="Low",$S168,IF($P168="Mix",SUMIF('High_Low Voltage Mix Summary'!$B$10:$B$17,$B113,'High_Low Voltage Mix Summary'!$E$10:$E$17),""))</f>
        <v/>
      </c>
      <c r="X168" s="44" t="str">
        <f>IF($P168="High",$T168,IF($P168="Mix",SUMIF('High_Low Voltage Mix Summary'!$B$10:$B$17,$B113,'High_Low Voltage Mix Summary'!$F$10:$F$17),""))</f>
        <v/>
      </c>
      <c r="Y168" s="44" t="str">
        <f>IF($P168="Low",$T168,IF($P168="Mix",SUMIF('High_Low Voltage Mix Summary'!$B$10:$B$17,$B113,'High_Low Voltage Mix Summary'!$G$10:$G$17),""))</f>
        <v/>
      </c>
      <c r="Z168" s="44" t="str">
        <f>IF(OR($P168="High",$P168="Low"),"",IF($P168="Mix",SUMIF('High_Low Voltage Mix Summary'!$B$10:$B$17,$B113,'High_Low Voltage Mix Summary'!$H$10:$H$17),""))</f>
        <v/>
      </c>
      <c r="AB168" s="49">
        <f>SUMIF('Antelope Bailey Split BA'!$B$7:$B$29,B168,'Antelope Bailey Split BA'!$C$7:$C$29)</f>
        <v>0</v>
      </c>
      <c r="AC168" s="49" t="str">
        <f>IF(AND(AB168=1,'Plant Total by Account'!$H$1=2),"EKWRA","")</f>
        <v/>
      </c>
    </row>
    <row r="169" spans="1:29" x14ac:dyDescent="0.2">
      <c r="A169" s="39" t="s">
        <v>2716</v>
      </c>
      <c r="B169" s="45" t="s">
        <v>266</v>
      </c>
      <c r="C169" s="40" t="s">
        <v>3333</v>
      </c>
      <c r="D169" s="53">
        <v>69464.639999999999</v>
      </c>
      <c r="E169" s="53">
        <v>86815.540000000008</v>
      </c>
      <c r="F169" s="53">
        <v>2014979.7500000014</v>
      </c>
      <c r="G169" s="578">
        <f t="shared" si="27"/>
        <v>2171259.9300000016</v>
      </c>
      <c r="H169" s="41"/>
      <c r="I169" s="41"/>
      <c r="J169" s="41"/>
      <c r="K169" s="41">
        <f t="shared" si="29"/>
        <v>69464.639999999999</v>
      </c>
      <c r="L169" s="41">
        <f t="shared" si="30"/>
        <v>86815.540000000008</v>
      </c>
      <c r="M169" s="41">
        <f t="shared" si="31"/>
        <v>2014979.7500000014</v>
      </c>
      <c r="N169" s="363">
        <f t="shared" si="28"/>
        <v>0</v>
      </c>
      <c r="O169" s="43" t="s">
        <v>3309</v>
      </c>
      <c r="P169" s="43"/>
      <c r="R169" s="41">
        <f t="shared" si="24"/>
        <v>0</v>
      </c>
      <c r="S169" s="41">
        <f t="shared" si="25"/>
        <v>0</v>
      </c>
      <c r="T169" s="41">
        <f t="shared" si="26"/>
        <v>0</v>
      </c>
      <c r="U169" s="41"/>
      <c r="V169" s="44" t="str">
        <f>IF($P169="High",$S169,IF($P169="Mix",SUMIF('High_Low Voltage Mix Summary'!$B$10:$B$17,$B114,'High_Low Voltage Mix Summary'!$D$10:$D$17),""))</f>
        <v/>
      </c>
      <c r="W169" s="44" t="str">
        <f>IF($P169="Low",$S169,IF($P169="Mix",SUMIF('High_Low Voltage Mix Summary'!$B$10:$B$17,$B114,'High_Low Voltage Mix Summary'!$E$10:$E$17),""))</f>
        <v/>
      </c>
      <c r="X169" s="44" t="str">
        <f>IF($P169="High",$T169,IF($P169="Mix",SUMIF('High_Low Voltage Mix Summary'!$B$10:$B$17,$B114,'High_Low Voltage Mix Summary'!$F$10:$F$17),""))</f>
        <v/>
      </c>
      <c r="Y169" s="44" t="str">
        <f>IF($P169="Low",$T169,IF($P169="Mix",SUMIF('High_Low Voltage Mix Summary'!$B$10:$B$17,$B114,'High_Low Voltage Mix Summary'!$G$10:$G$17),""))</f>
        <v/>
      </c>
      <c r="Z169" s="44" t="str">
        <f>IF(OR($P169="High",$P169="Low"),"",IF($P169="Mix",SUMIF('High_Low Voltage Mix Summary'!$B$10:$B$17,$B114,'High_Low Voltage Mix Summary'!$H$10:$H$17),""))</f>
        <v/>
      </c>
      <c r="AB169" s="49">
        <f>SUMIF('Antelope Bailey Split BA'!$B$7:$B$29,B169,'Antelope Bailey Split BA'!$C$7:$C$29)</f>
        <v>0</v>
      </c>
      <c r="AC169" s="49" t="str">
        <f>IF(AND(AB169=1,'Plant Total by Account'!$H$1=2),"EKWRA","")</f>
        <v/>
      </c>
    </row>
    <row r="170" spans="1:29" x14ac:dyDescent="0.2">
      <c r="A170" s="39" t="s">
        <v>2717</v>
      </c>
      <c r="B170" s="45" t="s">
        <v>267</v>
      </c>
      <c r="C170" s="40" t="s">
        <v>3334</v>
      </c>
      <c r="D170" s="53">
        <v>196527.1</v>
      </c>
      <c r="E170" s="53">
        <v>182246.45000000004</v>
      </c>
      <c r="F170" s="53">
        <v>2916715.4499999993</v>
      </c>
      <c r="G170" s="578">
        <f t="shared" si="27"/>
        <v>3295488.9999999991</v>
      </c>
      <c r="H170" s="41"/>
      <c r="I170" s="41"/>
      <c r="J170" s="41"/>
      <c r="K170" s="41">
        <f t="shared" si="29"/>
        <v>196527.1</v>
      </c>
      <c r="L170" s="41">
        <f t="shared" si="30"/>
        <v>182246.45000000004</v>
      </c>
      <c r="M170" s="41">
        <f t="shared" si="31"/>
        <v>2916715.4499999993</v>
      </c>
      <c r="N170" s="363">
        <f t="shared" si="28"/>
        <v>0</v>
      </c>
      <c r="O170" s="43" t="s">
        <v>3309</v>
      </c>
      <c r="P170" s="43"/>
      <c r="R170" s="41">
        <f t="shared" si="24"/>
        <v>0</v>
      </c>
      <c r="S170" s="41">
        <f t="shared" si="25"/>
        <v>0</v>
      </c>
      <c r="T170" s="41">
        <f t="shared" si="26"/>
        <v>0</v>
      </c>
      <c r="U170" s="41"/>
      <c r="V170" s="44" t="str">
        <f>IF($P170="High",$S170,IF($P170="Mix",SUMIF('High_Low Voltage Mix Summary'!$B$10:$B$17,$B638,'High_Low Voltage Mix Summary'!$D$10:$D$17),""))</f>
        <v/>
      </c>
      <c r="W170" s="44" t="str">
        <f>IF($P170="Low",$S170,IF($P170="Mix",SUMIF('High_Low Voltage Mix Summary'!$B$10:$B$17,$B638,'High_Low Voltage Mix Summary'!$E$10:$E$17),""))</f>
        <v/>
      </c>
      <c r="X170" s="44" t="str">
        <f>IF($P170="High",$T170,IF($P170="Mix",SUMIF('High_Low Voltage Mix Summary'!$B$10:$B$17,$B638,'High_Low Voltage Mix Summary'!$F$10:$F$17),""))</f>
        <v/>
      </c>
      <c r="Y170" s="44" t="str">
        <f>IF($P170="Low",$T170,IF($P170="Mix",SUMIF('High_Low Voltage Mix Summary'!$B$10:$B$17,$B638,'High_Low Voltage Mix Summary'!$G$10:$G$17),""))</f>
        <v/>
      </c>
      <c r="Z170" s="44" t="str">
        <f>IF(OR($P170="High",$P170="Low"),"",IF($P170="Mix",SUMIF('High_Low Voltage Mix Summary'!$B$10:$B$17,$B638,'High_Low Voltage Mix Summary'!$H$10:$H$17),""))</f>
        <v/>
      </c>
      <c r="AB170" s="49">
        <f>SUMIF('Antelope Bailey Split BA'!$B$7:$B$29,B170,'Antelope Bailey Split BA'!$C$7:$C$29)</f>
        <v>0</v>
      </c>
      <c r="AC170" s="49" t="str">
        <f>IF(AND(AB170=1,'Plant Total by Account'!$H$1=2),"EKWRA","")</f>
        <v/>
      </c>
    </row>
    <row r="171" spans="1:29" x14ac:dyDescent="0.2">
      <c r="A171" s="39" t="s">
        <v>2718</v>
      </c>
      <c r="B171" s="45" t="s">
        <v>268</v>
      </c>
      <c r="C171" s="40" t="s">
        <v>3334</v>
      </c>
      <c r="D171" s="53">
        <v>23554.39</v>
      </c>
      <c r="E171" s="53">
        <v>107633.86</v>
      </c>
      <c r="F171" s="53">
        <v>3393786.7300000009</v>
      </c>
      <c r="G171" s="578">
        <f t="shared" si="27"/>
        <v>3524974.9800000009</v>
      </c>
      <c r="H171" s="41"/>
      <c r="I171" s="41"/>
      <c r="J171" s="41"/>
      <c r="K171" s="41">
        <f t="shared" si="29"/>
        <v>23554.39</v>
      </c>
      <c r="L171" s="41">
        <f t="shared" si="30"/>
        <v>107633.86</v>
      </c>
      <c r="M171" s="41">
        <f t="shared" si="31"/>
        <v>3393786.7300000009</v>
      </c>
      <c r="N171" s="363">
        <f t="shared" si="28"/>
        <v>0</v>
      </c>
      <c r="O171" s="43" t="s">
        <v>3309</v>
      </c>
      <c r="P171" s="43"/>
      <c r="R171" s="41">
        <f t="shared" si="24"/>
        <v>0</v>
      </c>
      <c r="S171" s="41">
        <f t="shared" si="25"/>
        <v>0</v>
      </c>
      <c r="T171" s="41">
        <f t="shared" si="26"/>
        <v>0</v>
      </c>
      <c r="U171" s="41"/>
      <c r="V171" s="44" t="str">
        <f>IF($P171="High",$S171,IF($P171="Mix",SUMIF('High_Low Voltage Mix Summary'!$B$10:$B$17,$B115,'High_Low Voltage Mix Summary'!$D$10:$D$17),""))</f>
        <v/>
      </c>
      <c r="W171" s="44" t="str">
        <f>IF($P171="Low",$S171,IF($P171="Mix",SUMIF('High_Low Voltage Mix Summary'!$B$10:$B$17,$B115,'High_Low Voltage Mix Summary'!$E$10:$E$17),""))</f>
        <v/>
      </c>
      <c r="X171" s="44" t="str">
        <f>IF($P171="High",$T171,IF($P171="Mix",SUMIF('High_Low Voltage Mix Summary'!$B$10:$B$17,$B115,'High_Low Voltage Mix Summary'!$F$10:$F$17),""))</f>
        <v/>
      </c>
      <c r="Y171" s="44" t="str">
        <f>IF($P171="Low",$T171,IF($P171="Mix",SUMIF('High_Low Voltage Mix Summary'!$B$10:$B$17,$B115,'High_Low Voltage Mix Summary'!$G$10:$G$17),""))</f>
        <v/>
      </c>
      <c r="Z171" s="44" t="str">
        <f>IF(OR($P171="High",$P171="Low"),"",IF($P171="Mix",SUMIF('High_Low Voltage Mix Summary'!$B$10:$B$17,$B115,'High_Low Voltage Mix Summary'!$H$10:$H$17),""))</f>
        <v/>
      </c>
      <c r="AB171" s="49">
        <f>SUMIF('Antelope Bailey Split BA'!$B$7:$B$29,B171,'Antelope Bailey Split BA'!$C$7:$C$29)</f>
        <v>0</v>
      </c>
      <c r="AC171" s="49" t="str">
        <f>IF(AND(AB171=1,'Plant Total by Account'!$H$1=2),"EKWRA","")</f>
        <v/>
      </c>
    </row>
    <row r="172" spans="1:29" x14ac:dyDescent="0.2">
      <c r="A172" s="39" t="s">
        <v>2719</v>
      </c>
      <c r="B172" s="45" t="s">
        <v>269</v>
      </c>
      <c r="C172" s="40" t="s">
        <v>3334</v>
      </c>
      <c r="D172" s="53">
        <v>0</v>
      </c>
      <c r="E172" s="53">
        <v>30762.53</v>
      </c>
      <c r="F172" s="53">
        <v>263477.66000000003</v>
      </c>
      <c r="G172" s="578">
        <f t="shared" si="27"/>
        <v>294240.19000000006</v>
      </c>
      <c r="H172" s="41"/>
      <c r="I172" s="41"/>
      <c r="J172" s="41"/>
      <c r="K172" s="41">
        <f t="shared" si="29"/>
        <v>0</v>
      </c>
      <c r="L172" s="41">
        <f t="shared" si="30"/>
        <v>30762.53</v>
      </c>
      <c r="M172" s="41">
        <f t="shared" si="31"/>
        <v>263477.66000000003</v>
      </c>
      <c r="N172" s="363">
        <f t="shared" si="28"/>
        <v>0</v>
      </c>
      <c r="O172" s="43" t="s">
        <v>3309</v>
      </c>
      <c r="P172" s="43"/>
      <c r="R172" s="41">
        <f t="shared" si="24"/>
        <v>0</v>
      </c>
      <c r="S172" s="41">
        <f t="shared" si="25"/>
        <v>0</v>
      </c>
      <c r="T172" s="41">
        <f t="shared" si="26"/>
        <v>0</v>
      </c>
      <c r="U172" s="41"/>
      <c r="V172" s="44" t="str">
        <f>IF($P172="High",$S172,IF($P172="Mix",SUMIF('High_Low Voltage Mix Summary'!$B$10:$B$17,$B116,'High_Low Voltage Mix Summary'!$D$10:$D$17),""))</f>
        <v/>
      </c>
      <c r="W172" s="44" t="str">
        <f>IF($P172="Low",$S172,IF($P172="Mix",SUMIF('High_Low Voltage Mix Summary'!$B$10:$B$17,$B116,'High_Low Voltage Mix Summary'!$E$10:$E$17),""))</f>
        <v/>
      </c>
      <c r="X172" s="44" t="str">
        <f>IF($P172="High",$T172,IF($P172="Mix",SUMIF('High_Low Voltage Mix Summary'!$B$10:$B$17,$B116,'High_Low Voltage Mix Summary'!$F$10:$F$17),""))</f>
        <v/>
      </c>
      <c r="Y172" s="44" t="str">
        <f>IF($P172="Low",$T172,IF($P172="Mix",SUMIF('High_Low Voltage Mix Summary'!$B$10:$B$17,$B116,'High_Low Voltage Mix Summary'!$G$10:$G$17),""))</f>
        <v/>
      </c>
      <c r="Z172" s="44" t="str">
        <f>IF(OR($P172="High",$P172="Low"),"",IF($P172="Mix",SUMIF('High_Low Voltage Mix Summary'!$B$10:$B$17,$B116,'High_Low Voltage Mix Summary'!$H$10:$H$17),""))</f>
        <v/>
      </c>
      <c r="AB172" s="49">
        <f>SUMIF('Antelope Bailey Split BA'!$B$7:$B$29,B172,'Antelope Bailey Split BA'!$C$7:$C$29)</f>
        <v>0</v>
      </c>
      <c r="AC172" s="49" t="str">
        <f>IF(AND(AB172=1,'Plant Total by Account'!$H$1=2),"EKWRA","")</f>
        <v/>
      </c>
    </row>
    <row r="173" spans="1:29" x14ac:dyDescent="0.2">
      <c r="A173" s="39" t="s">
        <v>2416</v>
      </c>
      <c r="B173" s="45" t="s">
        <v>270</v>
      </c>
      <c r="C173" s="40" t="s">
        <v>3334</v>
      </c>
      <c r="D173" s="53">
        <v>192066.73</v>
      </c>
      <c r="E173" s="53">
        <v>105911.93</v>
      </c>
      <c r="F173" s="53">
        <v>1449729.0700000003</v>
      </c>
      <c r="G173" s="578">
        <f t="shared" si="27"/>
        <v>1747707.7300000004</v>
      </c>
      <c r="H173" s="41"/>
      <c r="I173" s="41"/>
      <c r="J173" s="41"/>
      <c r="K173" s="41">
        <f t="shared" si="29"/>
        <v>192066.73</v>
      </c>
      <c r="L173" s="41">
        <f t="shared" si="30"/>
        <v>105911.93</v>
      </c>
      <c r="M173" s="41">
        <f t="shared" si="31"/>
        <v>1449729.0700000003</v>
      </c>
      <c r="N173" s="363">
        <f t="shared" si="28"/>
        <v>0</v>
      </c>
      <c r="O173" s="43" t="s">
        <v>3309</v>
      </c>
      <c r="P173" s="43"/>
      <c r="R173" s="41">
        <f t="shared" si="24"/>
        <v>0</v>
      </c>
      <c r="S173" s="41">
        <f t="shared" si="25"/>
        <v>0</v>
      </c>
      <c r="T173" s="41">
        <f t="shared" si="26"/>
        <v>0</v>
      </c>
      <c r="U173" s="41"/>
      <c r="V173" s="44" t="str">
        <f>IF($P173="High",$S173,IF($P173="Mix",SUMIF('High_Low Voltage Mix Summary'!$B$10:$B$17,$B562,'High_Low Voltage Mix Summary'!$D$10:$D$17),""))</f>
        <v/>
      </c>
      <c r="W173" s="44" t="str">
        <f>IF($P173="Low",$S173,IF($P173="Mix",SUMIF('High_Low Voltage Mix Summary'!$B$10:$B$17,$B562,'High_Low Voltage Mix Summary'!$E$10:$E$17),""))</f>
        <v/>
      </c>
      <c r="X173" s="44" t="str">
        <f>IF($P173="High",$T173,IF($P173="Mix",SUMIF('High_Low Voltage Mix Summary'!$B$10:$B$17,$B562,'High_Low Voltage Mix Summary'!$F$10:$F$17),""))</f>
        <v/>
      </c>
      <c r="Y173" s="44" t="str">
        <f>IF($P173="Low",$T173,IF($P173="Mix",SUMIF('High_Low Voltage Mix Summary'!$B$10:$B$17,$B562,'High_Low Voltage Mix Summary'!$G$10:$G$17),""))</f>
        <v/>
      </c>
      <c r="Z173" s="44" t="str">
        <f>IF(OR($P173="High",$P173="Low"),"",IF($P173="Mix",SUMIF('High_Low Voltage Mix Summary'!$B$10:$B$17,$B562,'High_Low Voltage Mix Summary'!$H$10:$H$17),""))</f>
        <v/>
      </c>
      <c r="AB173" s="49">
        <f>SUMIF('Antelope Bailey Split BA'!$B$7:$B$29,B173,'Antelope Bailey Split BA'!$C$7:$C$29)</f>
        <v>0</v>
      </c>
      <c r="AC173" s="49" t="str">
        <f>IF(AND(AB173=1,'Plant Total by Account'!$H$1=2),"EKWRA","")</f>
        <v/>
      </c>
    </row>
    <row r="174" spans="1:29" x14ac:dyDescent="0.2">
      <c r="A174" s="39" t="s">
        <v>2720</v>
      </c>
      <c r="B174" s="45" t="s">
        <v>271</v>
      </c>
      <c r="C174" s="40" t="s">
        <v>3334</v>
      </c>
      <c r="D174" s="53">
        <v>813.24</v>
      </c>
      <c r="E174" s="53">
        <v>3447.8</v>
      </c>
      <c r="F174" s="53">
        <v>531048.39999999991</v>
      </c>
      <c r="G174" s="578">
        <f t="shared" si="27"/>
        <v>535309.43999999994</v>
      </c>
      <c r="H174" s="41"/>
      <c r="I174" s="41"/>
      <c r="J174" s="41"/>
      <c r="K174" s="41">
        <f t="shared" si="29"/>
        <v>813.24</v>
      </c>
      <c r="L174" s="41">
        <f t="shared" si="30"/>
        <v>3447.8</v>
      </c>
      <c r="M174" s="41">
        <f t="shared" si="31"/>
        <v>531048.39999999991</v>
      </c>
      <c r="N174" s="363">
        <f t="shared" si="28"/>
        <v>0</v>
      </c>
      <c r="O174" s="43" t="s">
        <v>3309</v>
      </c>
      <c r="P174" s="43"/>
      <c r="R174" s="41">
        <f t="shared" si="24"/>
        <v>0</v>
      </c>
      <c r="S174" s="41">
        <f t="shared" si="25"/>
        <v>0</v>
      </c>
      <c r="T174" s="41">
        <f t="shared" si="26"/>
        <v>0</v>
      </c>
      <c r="U174" s="41"/>
      <c r="V174" s="44" t="str">
        <f>IF($P174="High",$S174,IF($P174="Mix",SUMIF('High_Low Voltage Mix Summary'!$B$10:$B$17,$B117,'High_Low Voltage Mix Summary'!$D$10:$D$17),""))</f>
        <v/>
      </c>
      <c r="W174" s="44" t="str">
        <f>IF($P174="Low",$S174,IF($P174="Mix",SUMIF('High_Low Voltage Mix Summary'!$B$10:$B$17,$B117,'High_Low Voltage Mix Summary'!$E$10:$E$17),""))</f>
        <v/>
      </c>
      <c r="X174" s="44" t="str">
        <f>IF($P174="High",$T174,IF($P174="Mix",SUMIF('High_Low Voltage Mix Summary'!$B$10:$B$17,$B117,'High_Low Voltage Mix Summary'!$F$10:$F$17),""))</f>
        <v/>
      </c>
      <c r="Y174" s="44" t="str">
        <f>IF($P174="Low",$T174,IF($P174="Mix",SUMIF('High_Low Voltage Mix Summary'!$B$10:$B$17,$B117,'High_Low Voltage Mix Summary'!$G$10:$G$17),""))</f>
        <v/>
      </c>
      <c r="Z174" s="44" t="str">
        <f>IF(OR($P174="High",$P174="Low"),"",IF($P174="Mix",SUMIF('High_Low Voltage Mix Summary'!$B$10:$B$17,$B117,'High_Low Voltage Mix Summary'!$H$10:$H$17),""))</f>
        <v/>
      </c>
      <c r="AB174" s="49">
        <f>SUMIF('Antelope Bailey Split BA'!$B$7:$B$29,B174,'Antelope Bailey Split BA'!$C$7:$C$29)</f>
        <v>0</v>
      </c>
      <c r="AC174" s="49" t="str">
        <f>IF(AND(AB174=1,'Plant Total by Account'!$H$1=2),"EKWRA","")</f>
        <v/>
      </c>
    </row>
    <row r="175" spans="1:29" x14ac:dyDescent="0.2">
      <c r="A175" s="39" t="s">
        <v>2721</v>
      </c>
      <c r="B175" s="45" t="s">
        <v>272</v>
      </c>
      <c r="C175" s="40" t="s">
        <v>3333</v>
      </c>
      <c r="D175" s="53">
        <v>2750.13</v>
      </c>
      <c r="E175" s="53">
        <v>31768.379999999997</v>
      </c>
      <c r="F175" s="53">
        <v>687577.38000000012</v>
      </c>
      <c r="G175" s="578">
        <f t="shared" si="27"/>
        <v>722095.89000000013</v>
      </c>
      <c r="H175" s="41"/>
      <c r="I175" s="41"/>
      <c r="J175" s="41"/>
      <c r="K175" s="41">
        <f t="shared" si="29"/>
        <v>2750.13</v>
      </c>
      <c r="L175" s="41">
        <f t="shared" si="30"/>
        <v>31768.379999999997</v>
      </c>
      <c r="M175" s="41">
        <f t="shared" si="31"/>
        <v>687577.38000000012</v>
      </c>
      <c r="N175" s="363">
        <f t="shared" si="28"/>
        <v>0</v>
      </c>
      <c r="O175" s="43" t="s">
        <v>3309</v>
      </c>
      <c r="P175" s="43"/>
      <c r="R175" s="41">
        <f t="shared" si="24"/>
        <v>0</v>
      </c>
      <c r="S175" s="41">
        <f t="shared" si="25"/>
        <v>0</v>
      </c>
      <c r="T175" s="41">
        <f t="shared" si="26"/>
        <v>0</v>
      </c>
      <c r="U175" s="41"/>
      <c r="V175" s="44" t="str">
        <f>IF($P175="High",$S175,IF($P175="Mix",SUMIF('High_Low Voltage Mix Summary'!$B$10:$B$17,$B118,'High_Low Voltage Mix Summary'!$D$10:$D$17),""))</f>
        <v/>
      </c>
      <c r="W175" s="44" t="str">
        <f>IF($P175="Low",$S175,IF($P175="Mix",SUMIF('High_Low Voltage Mix Summary'!$B$10:$B$17,$B118,'High_Low Voltage Mix Summary'!$E$10:$E$17),""))</f>
        <v/>
      </c>
      <c r="X175" s="44" t="str">
        <f>IF($P175="High",$T175,IF($P175="Mix",SUMIF('High_Low Voltage Mix Summary'!$B$10:$B$17,$B118,'High_Low Voltage Mix Summary'!$F$10:$F$17),""))</f>
        <v/>
      </c>
      <c r="Y175" s="44" t="str">
        <f>IF($P175="Low",$T175,IF($P175="Mix",SUMIF('High_Low Voltage Mix Summary'!$B$10:$B$17,$B118,'High_Low Voltage Mix Summary'!$G$10:$G$17),""))</f>
        <v/>
      </c>
      <c r="Z175" s="44" t="str">
        <f>IF(OR($P175="High",$P175="Low"),"",IF($P175="Mix",SUMIF('High_Low Voltage Mix Summary'!$B$10:$B$17,$B118,'High_Low Voltage Mix Summary'!$H$10:$H$17),""))</f>
        <v/>
      </c>
      <c r="AB175" s="49">
        <f>SUMIF('Antelope Bailey Split BA'!$B$7:$B$29,B175,'Antelope Bailey Split BA'!$C$7:$C$29)</f>
        <v>0</v>
      </c>
      <c r="AC175" s="49" t="str">
        <f>IF(AND(AB175=1,'Plant Total by Account'!$H$1=2),"EKWRA","")</f>
        <v/>
      </c>
    </row>
    <row r="176" spans="1:29" x14ac:dyDescent="0.2">
      <c r="A176" s="39" t="s">
        <v>2722</v>
      </c>
      <c r="B176" s="45" t="s">
        <v>273</v>
      </c>
      <c r="C176" s="40" t="s">
        <v>3333</v>
      </c>
      <c r="D176" s="53">
        <v>4118.8599999999997</v>
      </c>
      <c r="E176" s="53">
        <v>51568.43</v>
      </c>
      <c r="F176" s="53">
        <v>838150.43999999971</v>
      </c>
      <c r="G176" s="578">
        <f t="shared" si="27"/>
        <v>893837.72999999975</v>
      </c>
      <c r="H176" s="41"/>
      <c r="I176" s="41"/>
      <c r="J176" s="41"/>
      <c r="K176" s="41">
        <f t="shared" si="29"/>
        <v>4118.8599999999997</v>
      </c>
      <c r="L176" s="41">
        <f t="shared" si="30"/>
        <v>51568.43</v>
      </c>
      <c r="M176" s="41">
        <f t="shared" si="31"/>
        <v>838150.43999999971</v>
      </c>
      <c r="N176" s="363">
        <f t="shared" si="28"/>
        <v>0</v>
      </c>
      <c r="O176" s="43" t="s">
        <v>3309</v>
      </c>
      <c r="P176" s="43"/>
      <c r="R176" s="41">
        <f t="shared" si="24"/>
        <v>0</v>
      </c>
      <c r="S176" s="41">
        <f t="shared" si="25"/>
        <v>0</v>
      </c>
      <c r="T176" s="41">
        <f t="shared" si="26"/>
        <v>0</v>
      </c>
      <c r="U176" s="41"/>
      <c r="V176" s="44" t="str">
        <f>IF($P176="High",$S176,IF($P176="Mix",SUMIF('High_Low Voltage Mix Summary'!$B$10:$B$17,$B639,'High_Low Voltage Mix Summary'!$D$10:$D$17),""))</f>
        <v/>
      </c>
      <c r="W176" s="44" t="str">
        <f>IF($P176="Low",$S176,IF($P176="Mix",SUMIF('High_Low Voltage Mix Summary'!$B$10:$B$17,$B639,'High_Low Voltage Mix Summary'!$E$10:$E$17),""))</f>
        <v/>
      </c>
      <c r="X176" s="44" t="str">
        <f>IF($P176="High",$T176,IF($P176="Mix",SUMIF('High_Low Voltage Mix Summary'!$B$10:$B$17,$B639,'High_Low Voltage Mix Summary'!$F$10:$F$17),""))</f>
        <v/>
      </c>
      <c r="Y176" s="44" t="str">
        <f>IF($P176="Low",$T176,IF($P176="Mix",SUMIF('High_Low Voltage Mix Summary'!$B$10:$B$17,$B639,'High_Low Voltage Mix Summary'!$G$10:$G$17),""))</f>
        <v/>
      </c>
      <c r="Z176" s="44" t="str">
        <f>IF(OR($P176="High",$P176="Low"),"",IF($P176="Mix",SUMIF('High_Low Voltage Mix Summary'!$B$10:$B$17,$B639,'High_Low Voltage Mix Summary'!$H$10:$H$17),""))</f>
        <v/>
      </c>
      <c r="AB176" s="49">
        <f>SUMIF('Antelope Bailey Split BA'!$B$7:$B$29,B176,'Antelope Bailey Split BA'!$C$7:$C$29)</f>
        <v>0</v>
      </c>
      <c r="AC176" s="49" t="str">
        <f>IF(AND(AB176=1,'Plant Total by Account'!$H$1=2),"EKWRA","")</f>
        <v/>
      </c>
    </row>
    <row r="177" spans="1:29" x14ac:dyDescent="0.2">
      <c r="A177" s="39" t="s">
        <v>2723</v>
      </c>
      <c r="B177" s="45" t="s">
        <v>274</v>
      </c>
      <c r="C177" s="40" t="s">
        <v>3334</v>
      </c>
      <c r="D177" s="53">
        <v>16040.33</v>
      </c>
      <c r="E177" s="53">
        <v>206437.62000000002</v>
      </c>
      <c r="F177" s="53">
        <v>2628132.7899999991</v>
      </c>
      <c r="G177" s="578">
        <f t="shared" si="27"/>
        <v>2850610.7399999993</v>
      </c>
      <c r="H177" s="41"/>
      <c r="I177" s="41"/>
      <c r="J177" s="41"/>
      <c r="K177" s="41">
        <f t="shared" si="29"/>
        <v>16040.33</v>
      </c>
      <c r="L177" s="41">
        <f t="shared" si="30"/>
        <v>206437.62000000002</v>
      </c>
      <c r="M177" s="41">
        <f t="shared" si="31"/>
        <v>2628132.7899999991</v>
      </c>
      <c r="N177" s="363">
        <f t="shared" si="28"/>
        <v>0</v>
      </c>
      <c r="O177" s="43" t="s">
        <v>3309</v>
      </c>
      <c r="P177" s="43"/>
      <c r="R177" s="41">
        <f t="shared" si="24"/>
        <v>0</v>
      </c>
      <c r="S177" s="41">
        <f t="shared" si="25"/>
        <v>0</v>
      </c>
      <c r="T177" s="41">
        <f t="shared" si="26"/>
        <v>0</v>
      </c>
      <c r="U177" s="41"/>
      <c r="V177" s="44" t="str">
        <f>IF($P177="High",$S177,IF($P177="Mix",SUMIF('High_Low Voltage Mix Summary'!$B$10:$B$17,$B640,'High_Low Voltage Mix Summary'!$D$10:$D$17),""))</f>
        <v/>
      </c>
      <c r="W177" s="44" t="str">
        <f>IF($P177="Low",$S177,IF($P177="Mix",SUMIF('High_Low Voltage Mix Summary'!$B$10:$B$17,$B640,'High_Low Voltage Mix Summary'!$E$10:$E$17),""))</f>
        <v/>
      </c>
      <c r="X177" s="44" t="str">
        <f>IF($P177="High",$T177,IF($P177="Mix",SUMIF('High_Low Voltage Mix Summary'!$B$10:$B$17,$B640,'High_Low Voltage Mix Summary'!$F$10:$F$17),""))</f>
        <v/>
      </c>
      <c r="Y177" s="44" t="str">
        <f>IF($P177="Low",$T177,IF($P177="Mix",SUMIF('High_Low Voltage Mix Summary'!$B$10:$B$17,$B640,'High_Low Voltage Mix Summary'!$G$10:$G$17),""))</f>
        <v/>
      </c>
      <c r="Z177" s="44" t="str">
        <f>IF(OR($P177="High",$P177="Low"),"",IF($P177="Mix",SUMIF('High_Low Voltage Mix Summary'!$B$10:$B$17,$B640,'High_Low Voltage Mix Summary'!$H$10:$H$17),""))</f>
        <v/>
      </c>
      <c r="AB177" s="49">
        <f>SUMIF('Antelope Bailey Split BA'!$B$7:$B$29,B177,'Antelope Bailey Split BA'!$C$7:$C$29)</f>
        <v>0</v>
      </c>
      <c r="AC177" s="49" t="str">
        <f>IF(AND(AB177=1,'Plant Total by Account'!$H$1=2),"EKWRA","")</f>
        <v/>
      </c>
    </row>
    <row r="178" spans="1:29" x14ac:dyDescent="0.2">
      <c r="A178" s="39" t="s">
        <v>2724</v>
      </c>
      <c r="B178" s="45" t="s">
        <v>275</v>
      </c>
      <c r="C178" s="40" t="s">
        <v>3333</v>
      </c>
      <c r="D178" s="53">
        <v>2806.4100000000003</v>
      </c>
      <c r="E178" s="53">
        <v>15598.380000000001</v>
      </c>
      <c r="F178" s="53">
        <v>1064635.4600000002</v>
      </c>
      <c r="G178" s="578">
        <f t="shared" si="27"/>
        <v>1083040.2500000002</v>
      </c>
      <c r="H178" s="41"/>
      <c r="I178" s="41"/>
      <c r="J178" s="41"/>
      <c r="K178" s="41">
        <f t="shared" si="29"/>
        <v>2806.4100000000003</v>
      </c>
      <c r="L178" s="41">
        <f t="shared" si="30"/>
        <v>15598.380000000001</v>
      </c>
      <c r="M178" s="41">
        <f t="shared" si="31"/>
        <v>1064635.4600000002</v>
      </c>
      <c r="N178" s="363">
        <f t="shared" si="28"/>
        <v>0</v>
      </c>
      <c r="O178" s="43" t="s">
        <v>3309</v>
      </c>
      <c r="P178" s="43"/>
      <c r="R178" s="41">
        <f t="shared" si="24"/>
        <v>0</v>
      </c>
      <c r="S178" s="41">
        <f t="shared" si="25"/>
        <v>0</v>
      </c>
      <c r="T178" s="41">
        <f t="shared" si="26"/>
        <v>0</v>
      </c>
      <c r="U178" s="41"/>
      <c r="V178" s="44" t="str">
        <f>IF($P178="High",$S178,IF($P178="Mix",SUMIF('High_Low Voltage Mix Summary'!$B$10:$B$17,$B119,'High_Low Voltage Mix Summary'!$D$10:$D$17),""))</f>
        <v/>
      </c>
      <c r="W178" s="44" t="str">
        <f>IF($P178="Low",$S178,IF($P178="Mix",SUMIF('High_Low Voltage Mix Summary'!$B$10:$B$17,$B119,'High_Low Voltage Mix Summary'!$E$10:$E$17),""))</f>
        <v/>
      </c>
      <c r="X178" s="44" t="str">
        <f>IF($P178="High",$T178,IF($P178="Mix",SUMIF('High_Low Voltage Mix Summary'!$B$10:$B$17,$B119,'High_Low Voltage Mix Summary'!$F$10:$F$17),""))</f>
        <v/>
      </c>
      <c r="Y178" s="44" t="str">
        <f>IF($P178="Low",$T178,IF($P178="Mix",SUMIF('High_Low Voltage Mix Summary'!$B$10:$B$17,$B119,'High_Low Voltage Mix Summary'!$G$10:$G$17),""))</f>
        <v/>
      </c>
      <c r="Z178" s="44" t="str">
        <f>IF(OR($P178="High",$P178="Low"),"",IF($P178="Mix",SUMIF('High_Low Voltage Mix Summary'!$B$10:$B$17,$B119,'High_Low Voltage Mix Summary'!$H$10:$H$17),""))</f>
        <v/>
      </c>
      <c r="AB178" s="49">
        <f>SUMIF('Antelope Bailey Split BA'!$B$7:$B$29,B178,'Antelope Bailey Split BA'!$C$7:$C$29)</f>
        <v>0</v>
      </c>
      <c r="AC178" s="49" t="str">
        <f>IF(AND(AB178=1,'Plant Total by Account'!$H$1=2),"EKWRA","")</f>
        <v/>
      </c>
    </row>
    <row r="179" spans="1:29" x14ac:dyDescent="0.2">
      <c r="A179" s="39" t="s">
        <v>2725</v>
      </c>
      <c r="B179" s="45" t="s">
        <v>276</v>
      </c>
      <c r="C179" s="40" t="s">
        <v>3333</v>
      </c>
      <c r="D179" s="53">
        <v>18301.96</v>
      </c>
      <c r="E179" s="53">
        <v>25163.190000000002</v>
      </c>
      <c r="F179" s="53">
        <v>823414.60000000009</v>
      </c>
      <c r="G179" s="578">
        <f t="shared" si="27"/>
        <v>866879.75000000012</v>
      </c>
      <c r="H179" s="41"/>
      <c r="I179" s="41"/>
      <c r="J179" s="41"/>
      <c r="K179" s="41">
        <f t="shared" si="29"/>
        <v>18301.96</v>
      </c>
      <c r="L179" s="41">
        <f t="shared" si="30"/>
        <v>25163.190000000002</v>
      </c>
      <c r="M179" s="41">
        <f t="shared" si="31"/>
        <v>823414.60000000009</v>
      </c>
      <c r="N179" s="363">
        <f t="shared" si="28"/>
        <v>0</v>
      </c>
      <c r="O179" s="43" t="s">
        <v>3309</v>
      </c>
      <c r="P179" s="43"/>
      <c r="R179" s="41">
        <f t="shared" si="24"/>
        <v>0</v>
      </c>
      <c r="S179" s="41">
        <f t="shared" si="25"/>
        <v>0</v>
      </c>
      <c r="T179" s="41">
        <f t="shared" si="26"/>
        <v>0</v>
      </c>
      <c r="U179" s="41"/>
      <c r="V179" s="44" t="str">
        <f>IF($P179="High",$S179,IF($P179="Mix",SUMIF('High_Low Voltage Mix Summary'!$B$10:$B$17,$B641,'High_Low Voltage Mix Summary'!$D$10:$D$17),""))</f>
        <v/>
      </c>
      <c r="W179" s="44" t="str">
        <f>IF($P179="Low",$S179,IF($P179="Mix",SUMIF('High_Low Voltage Mix Summary'!$B$10:$B$17,$B641,'High_Low Voltage Mix Summary'!$E$10:$E$17),""))</f>
        <v/>
      </c>
      <c r="X179" s="44" t="str">
        <f>IF($P179="High",$T179,IF($P179="Mix",SUMIF('High_Low Voltage Mix Summary'!$B$10:$B$17,$B641,'High_Low Voltage Mix Summary'!$F$10:$F$17),""))</f>
        <v/>
      </c>
      <c r="Y179" s="44" t="str">
        <f>IF($P179="Low",$T179,IF($P179="Mix",SUMIF('High_Low Voltage Mix Summary'!$B$10:$B$17,$B641,'High_Low Voltage Mix Summary'!$G$10:$G$17),""))</f>
        <v/>
      </c>
      <c r="Z179" s="44" t="str">
        <f>IF(OR($P179="High",$P179="Low"),"",IF($P179="Mix",SUMIF('High_Low Voltage Mix Summary'!$B$10:$B$17,$B641,'High_Low Voltage Mix Summary'!$H$10:$H$17),""))</f>
        <v/>
      </c>
      <c r="AB179" s="49">
        <f>SUMIF('Antelope Bailey Split BA'!$B$7:$B$29,B179,'Antelope Bailey Split BA'!$C$7:$C$29)</f>
        <v>0</v>
      </c>
      <c r="AC179" s="49" t="str">
        <f>IF(AND(AB179=1,'Plant Total by Account'!$H$1=2),"EKWRA","")</f>
        <v/>
      </c>
    </row>
    <row r="180" spans="1:29" x14ac:dyDescent="0.2">
      <c r="A180" s="39" t="s">
        <v>2726</v>
      </c>
      <c r="B180" s="45" t="s">
        <v>277</v>
      </c>
      <c r="C180" s="40" t="s">
        <v>3334</v>
      </c>
      <c r="D180" s="53">
        <v>0</v>
      </c>
      <c r="E180" s="53">
        <v>1880.38</v>
      </c>
      <c r="F180" s="53">
        <v>337972.94000000006</v>
      </c>
      <c r="G180" s="578">
        <f t="shared" si="27"/>
        <v>339853.32000000007</v>
      </c>
      <c r="H180" s="41"/>
      <c r="I180" s="41"/>
      <c r="J180" s="41"/>
      <c r="K180" s="41">
        <f t="shared" si="29"/>
        <v>0</v>
      </c>
      <c r="L180" s="41">
        <f t="shared" si="30"/>
        <v>1880.38</v>
      </c>
      <c r="M180" s="41">
        <f t="shared" si="31"/>
        <v>337972.94000000006</v>
      </c>
      <c r="N180" s="363">
        <f t="shared" si="28"/>
        <v>0</v>
      </c>
      <c r="O180" s="43" t="s">
        <v>3309</v>
      </c>
      <c r="P180" s="43"/>
      <c r="R180" s="41">
        <f t="shared" si="24"/>
        <v>0</v>
      </c>
      <c r="S180" s="41">
        <f t="shared" si="25"/>
        <v>0</v>
      </c>
      <c r="T180" s="41">
        <f t="shared" si="26"/>
        <v>0</v>
      </c>
      <c r="U180" s="41"/>
      <c r="V180" s="44" t="str">
        <f>IF($P180="High",$S180,IF($P180="Mix",SUMIF('High_Low Voltage Mix Summary'!$B$10:$B$17,$B642,'High_Low Voltage Mix Summary'!$D$10:$D$17),""))</f>
        <v/>
      </c>
      <c r="W180" s="44" t="str">
        <f>IF($P180="Low",$S180,IF($P180="Mix",SUMIF('High_Low Voltage Mix Summary'!$B$10:$B$17,$B642,'High_Low Voltage Mix Summary'!$E$10:$E$17),""))</f>
        <v/>
      </c>
      <c r="X180" s="44" t="str">
        <f>IF($P180="High",$T180,IF($P180="Mix",SUMIF('High_Low Voltage Mix Summary'!$B$10:$B$17,$B642,'High_Low Voltage Mix Summary'!$F$10:$F$17),""))</f>
        <v/>
      </c>
      <c r="Y180" s="44" t="str">
        <f>IF($P180="Low",$T180,IF($P180="Mix",SUMIF('High_Low Voltage Mix Summary'!$B$10:$B$17,$B642,'High_Low Voltage Mix Summary'!$G$10:$G$17),""))</f>
        <v/>
      </c>
      <c r="Z180" s="44" t="str">
        <f>IF(OR($P180="High",$P180="Low"),"",IF($P180="Mix",SUMIF('High_Low Voltage Mix Summary'!$B$10:$B$17,$B642,'High_Low Voltage Mix Summary'!$H$10:$H$17),""))</f>
        <v/>
      </c>
      <c r="AB180" s="49">
        <f>SUMIF('Antelope Bailey Split BA'!$B$7:$B$29,B180,'Antelope Bailey Split BA'!$C$7:$C$29)</f>
        <v>0</v>
      </c>
      <c r="AC180" s="49" t="str">
        <f>IF(AND(AB180=1,'Plant Total by Account'!$H$1=2),"EKWRA","")</f>
        <v/>
      </c>
    </row>
    <row r="181" spans="1:29" x14ac:dyDescent="0.2">
      <c r="A181" s="39" t="s">
        <v>2727</v>
      </c>
      <c r="B181" s="45" t="s">
        <v>278</v>
      </c>
      <c r="C181" s="40" t="s">
        <v>3333</v>
      </c>
      <c r="D181" s="53">
        <v>31028.36</v>
      </c>
      <c r="E181" s="53">
        <v>32768.21</v>
      </c>
      <c r="F181" s="53">
        <v>668998.22</v>
      </c>
      <c r="G181" s="578">
        <f t="shared" si="27"/>
        <v>732794.78999999992</v>
      </c>
      <c r="H181" s="41"/>
      <c r="I181" s="41"/>
      <c r="J181" s="41"/>
      <c r="K181" s="41">
        <f t="shared" si="29"/>
        <v>31028.36</v>
      </c>
      <c r="L181" s="41">
        <f t="shared" si="30"/>
        <v>32768.21</v>
      </c>
      <c r="M181" s="41">
        <f t="shared" si="31"/>
        <v>668998.22</v>
      </c>
      <c r="N181" s="363">
        <f t="shared" si="28"/>
        <v>0</v>
      </c>
      <c r="O181" s="43" t="s">
        <v>3309</v>
      </c>
      <c r="P181" s="43"/>
      <c r="R181" s="41">
        <f t="shared" si="24"/>
        <v>0</v>
      </c>
      <c r="S181" s="41">
        <f t="shared" si="25"/>
        <v>0</v>
      </c>
      <c r="T181" s="41">
        <f t="shared" si="26"/>
        <v>0</v>
      </c>
      <c r="U181" s="41"/>
      <c r="V181" s="44" t="str">
        <f>IF($P181="High",$S181,IF($P181="Mix",SUMIF('High_Low Voltage Mix Summary'!$B$10:$B$17,$B120,'High_Low Voltage Mix Summary'!$D$10:$D$17),""))</f>
        <v/>
      </c>
      <c r="W181" s="44" t="str">
        <f>IF($P181="Low",$S181,IF($P181="Mix",SUMIF('High_Low Voltage Mix Summary'!$B$10:$B$17,$B120,'High_Low Voltage Mix Summary'!$E$10:$E$17),""))</f>
        <v/>
      </c>
      <c r="X181" s="44" t="str">
        <f>IF($P181="High",$T181,IF($P181="Mix",SUMIF('High_Low Voltage Mix Summary'!$B$10:$B$17,$B120,'High_Low Voltage Mix Summary'!$F$10:$F$17),""))</f>
        <v/>
      </c>
      <c r="Y181" s="44" t="str">
        <f>IF($P181="Low",$T181,IF($P181="Mix",SUMIF('High_Low Voltage Mix Summary'!$B$10:$B$17,$B120,'High_Low Voltage Mix Summary'!$G$10:$G$17),""))</f>
        <v/>
      </c>
      <c r="Z181" s="44" t="str">
        <f>IF(OR($P181="High",$P181="Low"),"",IF($P181="Mix",SUMIF('High_Low Voltage Mix Summary'!$B$10:$B$17,$B120,'High_Low Voltage Mix Summary'!$H$10:$H$17),""))</f>
        <v/>
      </c>
      <c r="AB181" s="49">
        <f>SUMIF('Antelope Bailey Split BA'!$B$7:$B$29,B181,'Antelope Bailey Split BA'!$C$7:$C$29)</f>
        <v>0</v>
      </c>
      <c r="AC181" s="49" t="str">
        <f>IF(AND(AB181=1,'Plant Total by Account'!$H$1=2),"EKWRA","")</f>
        <v/>
      </c>
    </row>
    <row r="182" spans="1:29" x14ac:dyDescent="0.2">
      <c r="A182" s="39" t="s">
        <v>2728</v>
      </c>
      <c r="B182" s="45" t="s">
        <v>279</v>
      </c>
      <c r="C182" s="40" t="s">
        <v>3333</v>
      </c>
      <c r="D182" s="53">
        <v>13086.609999999999</v>
      </c>
      <c r="E182" s="53">
        <v>77919.360000000001</v>
      </c>
      <c r="F182" s="53">
        <v>1065861.1299999999</v>
      </c>
      <c r="G182" s="578">
        <f t="shared" si="27"/>
        <v>1156867.0999999999</v>
      </c>
      <c r="H182" s="41"/>
      <c r="I182" s="41"/>
      <c r="J182" s="41"/>
      <c r="K182" s="41">
        <f t="shared" si="29"/>
        <v>13086.609999999999</v>
      </c>
      <c r="L182" s="41">
        <f t="shared" si="30"/>
        <v>77919.360000000001</v>
      </c>
      <c r="M182" s="41">
        <f t="shared" si="31"/>
        <v>1065861.1299999999</v>
      </c>
      <c r="N182" s="363">
        <f t="shared" si="28"/>
        <v>0</v>
      </c>
      <c r="O182" s="43" t="s">
        <v>3309</v>
      </c>
      <c r="P182" s="43"/>
      <c r="R182" s="41">
        <f t="shared" si="24"/>
        <v>0</v>
      </c>
      <c r="S182" s="41">
        <f t="shared" si="25"/>
        <v>0</v>
      </c>
      <c r="T182" s="41">
        <f t="shared" si="26"/>
        <v>0</v>
      </c>
      <c r="U182" s="41"/>
      <c r="V182" s="44" t="str">
        <f>IF($P182="High",$S182,IF($P182="Mix",SUMIF('High_Low Voltage Mix Summary'!$B$10:$B$17,$B643,'High_Low Voltage Mix Summary'!$D$10:$D$17),""))</f>
        <v/>
      </c>
      <c r="W182" s="44" t="str">
        <f>IF($P182="Low",$S182,IF($P182="Mix",SUMIF('High_Low Voltage Mix Summary'!$B$10:$B$17,$B643,'High_Low Voltage Mix Summary'!$E$10:$E$17),""))</f>
        <v/>
      </c>
      <c r="X182" s="44" t="str">
        <f>IF($P182="High",$T182,IF($P182="Mix",SUMIF('High_Low Voltage Mix Summary'!$B$10:$B$17,$B643,'High_Low Voltage Mix Summary'!$F$10:$F$17),""))</f>
        <v/>
      </c>
      <c r="Y182" s="44" t="str">
        <f>IF($P182="Low",$T182,IF($P182="Mix",SUMIF('High_Low Voltage Mix Summary'!$B$10:$B$17,$B643,'High_Low Voltage Mix Summary'!$G$10:$G$17),""))</f>
        <v/>
      </c>
      <c r="Z182" s="44" t="str">
        <f>IF(OR($P182="High",$P182="Low"),"",IF($P182="Mix",SUMIF('High_Low Voltage Mix Summary'!$B$10:$B$17,$B643,'High_Low Voltage Mix Summary'!$H$10:$H$17),""))</f>
        <v/>
      </c>
      <c r="AB182" s="49">
        <f>SUMIF('Antelope Bailey Split BA'!$B$7:$B$29,B182,'Antelope Bailey Split BA'!$C$7:$C$29)</f>
        <v>0</v>
      </c>
      <c r="AC182" s="49" t="str">
        <f>IF(AND(AB182=1,'Plant Total by Account'!$H$1=2),"EKWRA","")</f>
        <v/>
      </c>
    </row>
    <row r="183" spans="1:29" x14ac:dyDescent="0.2">
      <c r="A183" s="39" t="s">
        <v>2729</v>
      </c>
      <c r="B183" s="45" t="s">
        <v>280</v>
      </c>
      <c r="C183" s="40" t="s">
        <v>3333</v>
      </c>
      <c r="D183" s="53">
        <v>5882.53</v>
      </c>
      <c r="E183" s="53">
        <v>52508.92</v>
      </c>
      <c r="F183" s="53">
        <v>579684.68000000005</v>
      </c>
      <c r="G183" s="578">
        <f t="shared" si="27"/>
        <v>638076.13</v>
      </c>
      <c r="H183" s="41"/>
      <c r="I183" s="41"/>
      <c r="J183" s="41"/>
      <c r="K183" s="41">
        <f t="shared" si="29"/>
        <v>5882.53</v>
      </c>
      <c r="L183" s="41">
        <f t="shared" si="30"/>
        <v>52508.92</v>
      </c>
      <c r="M183" s="41">
        <f t="shared" si="31"/>
        <v>579684.68000000005</v>
      </c>
      <c r="N183" s="363">
        <f t="shared" si="28"/>
        <v>0</v>
      </c>
      <c r="O183" s="43" t="s">
        <v>3309</v>
      </c>
      <c r="P183" s="43"/>
      <c r="R183" s="41">
        <f t="shared" si="24"/>
        <v>0</v>
      </c>
      <c r="S183" s="41">
        <f t="shared" si="25"/>
        <v>0</v>
      </c>
      <c r="T183" s="41">
        <f t="shared" si="26"/>
        <v>0</v>
      </c>
      <c r="U183" s="41"/>
      <c r="V183" s="44" t="str">
        <f>IF($P183="High",$S183,IF($P183="Mix",SUMIF('High_Low Voltage Mix Summary'!$B$10:$B$17,$B644,'High_Low Voltage Mix Summary'!$D$10:$D$17),""))</f>
        <v/>
      </c>
      <c r="W183" s="44" t="str">
        <f>IF($P183="Low",$S183,IF($P183="Mix",SUMIF('High_Low Voltage Mix Summary'!$B$10:$B$17,$B644,'High_Low Voltage Mix Summary'!$E$10:$E$17),""))</f>
        <v/>
      </c>
      <c r="X183" s="44" t="str">
        <f>IF($P183="High",$T183,IF($P183="Mix",SUMIF('High_Low Voltage Mix Summary'!$B$10:$B$17,$B644,'High_Low Voltage Mix Summary'!$F$10:$F$17),""))</f>
        <v/>
      </c>
      <c r="Y183" s="44" t="str">
        <f>IF($P183="Low",$T183,IF($P183="Mix",SUMIF('High_Low Voltage Mix Summary'!$B$10:$B$17,$B644,'High_Low Voltage Mix Summary'!$G$10:$G$17),""))</f>
        <v/>
      </c>
      <c r="Z183" s="44" t="str">
        <f>IF(OR($P183="High",$P183="Low"),"",IF($P183="Mix",SUMIF('High_Low Voltage Mix Summary'!$B$10:$B$17,$B644,'High_Low Voltage Mix Summary'!$H$10:$H$17),""))</f>
        <v/>
      </c>
      <c r="AB183" s="49">
        <f>SUMIF('Antelope Bailey Split BA'!$B$7:$B$29,B183,'Antelope Bailey Split BA'!$C$7:$C$29)</f>
        <v>0</v>
      </c>
      <c r="AC183" s="49" t="str">
        <f>IF(AND(AB183=1,'Plant Total by Account'!$H$1=2),"EKWRA","")</f>
        <v/>
      </c>
    </row>
    <row r="184" spans="1:29" x14ac:dyDescent="0.2">
      <c r="A184" s="39" t="s">
        <v>2730</v>
      </c>
      <c r="B184" s="45" t="s">
        <v>281</v>
      </c>
      <c r="C184" s="40" t="s">
        <v>3333</v>
      </c>
      <c r="D184" s="53">
        <v>7677.7300000000005</v>
      </c>
      <c r="E184" s="53">
        <v>89082.37000000001</v>
      </c>
      <c r="F184" s="53">
        <v>795909.56999999983</v>
      </c>
      <c r="G184" s="578">
        <f t="shared" si="27"/>
        <v>892669.66999999981</v>
      </c>
      <c r="H184" s="41"/>
      <c r="I184" s="41"/>
      <c r="J184" s="41"/>
      <c r="K184" s="41">
        <f t="shared" si="29"/>
        <v>7677.7300000000005</v>
      </c>
      <c r="L184" s="41">
        <f t="shared" si="30"/>
        <v>89082.37000000001</v>
      </c>
      <c r="M184" s="41">
        <f t="shared" si="31"/>
        <v>795909.56999999983</v>
      </c>
      <c r="N184" s="363">
        <f t="shared" si="28"/>
        <v>0</v>
      </c>
      <c r="O184" s="43" t="s">
        <v>3309</v>
      </c>
      <c r="P184" s="43"/>
      <c r="R184" s="41">
        <f t="shared" si="24"/>
        <v>0</v>
      </c>
      <c r="S184" s="41">
        <f t="shared" si="25"/>
        <v>0</v>
      </c>
      <c r="T184" s="41">
        <f t="shared" si="26"/>
        <v>0</v>
      </c>
      <c r="U184" s="41"/>
      <c r="V184" s="44" t="str">
        <f>IF($P184="High",$S184,IF($P184="Mix",SUMIF('High_Low Voltage Mix Summary'!$B$10:$B$17,$B645,'High_Low Voltage Mix Summary'!$D$10:$D$17),""))</f>
        <v/>
      </c>
      <c r="W184" s="44" t="str">
        <f>IF($P184="Low",$S184,IF($P184="Mix",SUMIF('High_Low Voltage Mix Summary'!$B$10:$B$17,$B645,'High_Low Voltage Mix Summary'!$E$10:$E$17),""))</f>
        <v/>
      </c>
      <c r="X184" s="44" t="str">
        <f>IF($P184="High",$T184,IF($P184="Mix",SUMIF('High_Low Voltage Mix Summary'!$B$10:$B$17,$B645,'High_Low Voltage Mix Summary'!$F$10:$F$17),""))</f>
        <v/>
      </c>
      <c r="Y184" s="44" t="str">
        <f>IF($P184="Low",$T184,IF($P184="Mix",SUMIF('High_Low Voltage Mix Summary'!$B$10:$B$17,$B645,'High_Low Voltage Mix Summary'!$G$10:$G$17),""))</f>
        <v/>
      </c>
      <c r="Z184" s="44" t="str">
        <f>IF(OR($P184="High",$P184="Low"),"",IF($P184="Mix",SUMIF('High_Low Voltage Mix Summary'!$B$10:$B$17,$B645,'High_Low Voltage Mix Summary'!$H$10:$H$17),""))</f>
        <v/>
      </c>
      <c r="AB184" s="49">
        <f>SUMIF('Antelope Bailey Split BA'!$B$7:$B$29,B184,'Antelope Bailey Split BA'!$C$7:$C$29)</f>
        <v>0</v>
      </c>
      <c r="AC184" s="49" t="str">
        <f>IF(AND(AB184=1,'Plant Total by Account'!$H$1=2),"EKWRA","")</f>
        <v/>
      </c>
    </row>
    <row r="185" spans="1:29" x14ac:dyDescent="0.2">
      <c r="A185" s="39" t="s">
        <v>2731</v>
      </c>
      <c r="B185" s="45" t="s">
        <v>282</v>
      </c>
      <c r="C185" s="40" t="s">
        <v>3333</v>
      </c>
      <c r="D185" s="53">
        <v>2931.02</v>
      </c>
      <c r="E185" s="53">
        <v>44526.47</v>
      </c>
      <c r="F185" s="53">
        <v>1339281.2700000003</v>
      </c>
      <c r="G185" s="578">
        <f t="shared" si="27"/>
        <v>1386738.7600000002</v>
      </c>
      <c r="H185" s="41"/>
      <c r="I185" s="41"/>
      <c r="J185" s="41"/>
      <c r="K185" s="41">
        <f t="shared" si="29"/>
        <v>2931.02</v>
      </c>
      <c r="L185" s="41">
        <f t="shared" si="30"/>
        <v>44526.47</v>
      </c>
      <c r="M185" s="41">
        <f t="shared" si="31"/>
        <v>1339281.2700000003</v>
      </c>
      <c r="N185" s="363">
        <f t="shared" si="28"/>
        <v>0</v>
      </c>
      <c r="O185" s="43" t="s">
        <v>3309</v>
      </c>
      <c r="P185" s="43"/>
      <c r="R185" s="41">
        <f t="shared" si="24"/>
        <v>0</v>
      </c>
      <c r="S185" s="41">
        <f t="shared" si="25"/>
        <v>0</v>
      </c>
      <c r="T185" s="41">
        <f t="shared" si="26"/>
        <v>0</v>
      </c>
      <c r="U185" s="41"/>
      <c r="V185" s="44" t="str">
        <f>IF($P185="High",$S185,IF($P185="Mix",SUMIF('High_Low Voltage Mix Summary'!$B$10:$B$17,$B646,'High_Low Voltage Mix Summary'!$D$10:$D$17),""))</f>
        <v/>
      </c>
      <c r="W185" s="44" t="str">
        <f>IF($P185="Low",$S185,IF($P185="Mix",SUMIF('High_Low Voltage Mix Summary'!$B$10:$B$17,$B646,'High_Low Voltage Mix Summary'!$E$10:$E$17),""))</f>
        <v/>
      </c>
      <c r="X185" s="44" t="str">
        <f>IF($P185="High",$T185,IF($P185="Mix",SUMIF('High_Low Voltage Mix Summary'!$B$10:$B$17,$B646,'High_Low Voltage Mix Summary'!$F$10:$F$17),""))</f>
        <v/>
      </c>
      <c r="Y185" s="44" t="str">
        <f>IF($P185="Low",$T185,IF($P185="Mix",SUMIF('High_Low Voltage Mix Summary'!$B$10:$B$17,$B646,'High_Low Voltage Mix Summary'!$G$10:$G$17),""))</f>
        <v/>
      </c>
      <c r="Z185" s="44" t="str">
        <f>IF(OR($P185="High",$P185="Low"),"",IF($P185="Mix",SUMIF('High_Low Voltage Mix Summary'!$B$10:$B$17,$B646,'High_Low Voltage Mix Summary'!$H$10:$H$17),""))</f>
        <v/>
      </c>
      <c r="AB185" s="49">
        <f>SUMIF('Antelope Bailey Split BA'!$B$7:$B$29,B185,'Antelope Bailey Split BA'!$C$7:$C$29)</f>
        <v>0</v>
      </c>
      <c r="AC185" s="49" t="str">
        <f>IF(AND(AB185=1,'Plant Total by Account'!$H$1=2),"EKWRA","")</f>
        <v/>
      </c>
    </row>
    <row r="186" spans="1:29" x14ac:dyDescent="0.2">
      <c r="A186" s="39" t="s">
        <v>2732</v>
      </c>
      <c r="B186" s="45" t="s">
        <v>283</v>
      </c>
      <c r="C186" s="40" t="s">
        <v>3334</v>
      </c>
      <c r="D186" s="53">
        <v>77687.13</v>
      </c>
      <c r="E186" s="53">
        <v>126864.88999999998</v>
      </c>
      <c r="F186" s="53">
        <v>1906597.1599999992</v>
      </c>
      <c r="G186" s="578">
        <f t="shared" si="27"/>
        <v>2111149.1799999992</v>
      </c>
      <c r="H186" s="41"/>
      <c r="I186" s="41"/>
      <c r="J186" s="41"/>
      <c r="K186" s="41">
        <f t="shared" si="29"/>
        <v>77687.13</v>
      </c>
      <c r="L186" s="41">
        <f t="shared" si="30"/>
        <v>126864.88999999998</v>
      </c>
      <c r="M186" s="41">
        <f t="shared" si="31"/>
        <v>1906597.1599999992</v>
      </c>
      <c r="N186" s="363">
        <f t="shared" si="28"/>
        <v>0</v>
      </c>
      <c r="O186" s="43" t="s">
        <v>3309</v>
      </c>
      <c r="P186" s="43"/>
      <c r="R186" s="41">
        <f t="shared" si="24"/>
        <v>0</v>
      </c>
      <c r="S186" s="41">
        <f t="shared" si="25"/>
        <v>0</v>
      </c>
      <c r="T186" s="41">
        <f t="shared" si="26"/>
        <v>0</v>
      </c>
      <c r="U186" s="41"/>
      <c r="V186" s="44" t="str">
        <f>IF($P186="High",$S186,IF($P186="Mix",SUMIF('High_Low Voltage Mix Summary'!$B$10:$B$17,$B647,'High_Low Voltage Mix Summary'!$D$10:$D$17),""))</f>
        <v/>
      </c>
      <c r="W186" s="44" t="str">
        <f>IF($P186="Low",$S186,IF($P186="Mix",SUMIF('High_Low Voltage Mix Summary'!$B$10:$B$17,$B647,'High_Low Voltage Mix Summary'!$E$10:$E$17),""))</f>
        <v/>
      </c>
      <c r="X186" s="44" t="str">
        <f>IF($P186="High",$T186,IF($P186="Mix",SUMIF('High_Low Voltage Mix Summary'!$B$10:$B$17,$B647,'High_Low Voltage Mix Summary'!$F$10:$F$17),""))</f>
        <v/>
      </c>
      <c r="Y186" s="44" t="str">
        <f>IF($P186="Low",$T186,IF($P186="Mix",SUMIF('High_Low Voltage Mix Summary'!$B$10:$B$17,$B647,'High_Low Voltage Mix Summary'!$G$10:$G$17),""))</f>
        <v/>
      </c>
      <c r="Z186" s="44" t="str">
        <f>IF(OR($P186="High",$P186="Low"),"",IF($P186="Mix",SUMIF('High_Low Voltage Mix Summary'!$B$10:$B$17,$B647,'High_Low Voltage Mix Summary'!$H$10:$H$17),""))</f>
        <v/>
      </c>
      <c r="AB186" s="49">
        <f>SUMIF('Antelope Bailey Split BA'!$B$7:$B$29,B186,'Antelope Bailey Split BA'!$C$7:$C$29)</f>
        <v>0</v>
      </c>
      <c r="AC186" s="49" t="str">
        <f>IF(AND(AB186=1,'Plant Total by Account'!$H$1=2),"EKWRA","")</f>
        <v/>
      </c>
    </row>
    <row r="187" spans="1:29" x14ac:dyDescent="0.2">
      <c r="A187" s="39" t="s">
        <v>2733</v>
      </c>
      <c r="B187" s="45" t="s">
        <v>284</v>
      </c>
      <c r="C187" s="40" t="s">
        <v>3333</v>
      </c>
      <c r="D187" s="53">
        <v>5704.56</v>
      </c>
      <c r="E187" s="53">
        <v>16873.900000000001</v>
      </c>
      <c r="F187" s="53">
        <v>1919811.5500000007</v>
      </c>
      <c r="G187" s="578">
        <f t="shared" si="27"/>
        <v>1942390.0100000007</v>
      </c>
      <c r="H187" s="41"/>
      <c r="I187" s="41"/>
      <c r="J187" s="41"/>
      <c r="K187" s="41">
        <f t="shared" si="29"/>
        <v>5704.56</v>
      </c>
      <c r="L187" s="41">
        <f t="shared" si="30"/>
        <v>16873.900000000001</v>
      </c>
      <c r="M187" s="41">
        <f t="shared" si="31"/>
        <v>1919811.5500000007</v>
      </c>
      <c r="N187" s="363">
        <f t="shared" si="28"/>
        <v>0</v>
      </c>
      <c r="O187" s="43" t="s">
        <v>3309</v>
      </c>
      <c r="P187" s="43"/>
      <c r="R187" s="41">
        <f t="shared" si="24"/>
        <v>0</v>
      </c>
      <c r="S187" s="41">
        <f t="shared" si="25"/>
        <v>0</v>
      </c>
      <c r="T187" s="41">
        <f t="shared" si="26"/>
        <v>0</v>
      </c>
      <c r="U187" s="41"/>
      <c r="V187" s="44" t="str">
        <f>IF($P187="High",$S187,IF($P187="Mix",SUMIF('High_Low Voltage Mix Summary'!$B$10:$B$17,$B121,'High_Low Voltage Mix Summary'!$D$10:$D$17),""))</f>
        <v/>
      </c>
      <c r="W187" s="44" t="str">
        <f>IF($P187="Low",$S187,IF($P187="Mix",SUMIF('High_Low Voltage Mix Summary'!$B$10:$B$17,$B121,'High_Low Voltage Mix Summary'!$E$10:$E$17),""))</f>
        <v/>
      </c>
      <c r="X187" s="44" t="str">
        <f>IF($P187="High",$T187,IF($P187="Mix",SUMIF('High_Low Voltage Mix Summary'!$B$10:$B$17,$B121,'High_Low Voltage Mix Summary'!$F$10:$F$17),""))</f>
        <v/>
      </c>
      <c r="Y187" s="44" t="str">
        <f>IF($P187="Low",$T187,IF($P187="Mix",SUMIF('High_Low Voltage Mix Summary'!$B$10:$B$17,$B121,'High_Low Voltage Mix Summary'!$G$10:$G$17),""))</f>
        <v/>
      </c>
      <c r="Z187" s="44" t="str">
        <f>IF(OR($P187="High",$P187="Low"),"",IF($P187="Mix",SUMIF('High_Low Voltage Mix Summary'!$B$10:$B$17,$B121,'High_Low Voltage Mix Summary'!$H$10:$H$17),""))</f>
        <v/>
      </c>
      <c r="AB187" s="49">
        <f>SUMIF('Antelope Bailey Split BA'!$B$7:$B$29,B187,'Antelope Bailey Split BA'!$C$7:$C$29)</f>
        <v>0</v>
      </c>
      <c r="AC187" s="49" t="str">
        <f>IF(AND(AB187=1,'Plant Total by Account'!$H$1=2),"EKWRA","")</f>
        <v/>
      </c>
    </row>
    <row r="188" spans="1:29" x14ac:dyDescent="0.2">
      <c r="A188" s="39" t="s">
        <v>2734</v>
      </c>
      <c r="B188" s="45" t="s">
        <v>285</v>
      </c>
      <c r="C188" s="40" t="s">
        <v>3334</v>
      </c>
      <c r="D188" s="53">
        <v>4955.71</v>
      </c>
      <c r="E188" s="53">
        <v>30610.719999999998</v>
      </c>
      <c r="F188" s="53">
        <v>3351505.0100000016</v>
      </c>
      <c r="G188" s="578">
        <f t="shared" si="27"/>
        <v>3387071.4400000018</v>
      </c>
      <c r="H188" s="41"/>
      <c r="I188" s="41"/>
      <c r="J188" s="41"/>
      <c r="K188" s="41">
        <f t="shared" si="29"/>
        <v>4955.71</v>
      </c>
      <c r="L188" s="41">
        <f t="shared" si="30"/>
        <v>30610.719999999998</v>
      </c>
      <c r="M188" s="41">
        <f t="shared" si="31"/>
        <v>3351505.0100000016</v>
      </c>
      <c r="N188" s="363">
        <f t="shared" si="28"/>
        <v>0</v>
      </c>
      <c r="O188" s="43" t="s">
        <v>3309</v>
      </c>
      <c r="P188" s="43"/>
      <c r="R188" s="41">
        <f t="shared" si="24"/>
        <v>0</v>
      </c>
      <c r="S188" s="41">
        <f t="shared" si="25"/>
        <v>0</v>
      </c>
      <c r="T188" s="41">
        <f t="shared" si="26"/>
        <v>0</v>
      </c>
      <c r="U188" s="41"/>
      <c r="V188" s="44" t="str">
        <f>IF($P188="High",$S188,IF($P188="Mix",SUMIF('High_Low Voltage Mix Summary'!$B$10:$B$17,$B648,'High_Low Voltage Mix Summary'!$D$10:$D$17),""))</f>
        <v/>
      </c>
      <c r="W188" s="44" t="str">
        <f>IF($P188="Low",$S188,IF($P188="Mix",SUMIF('High_Low Voltage Mix Summary'!$B$10:$B$17,$B648,'High_Low Voltage Mix Summary'!$E$10:$E$17),""))</f>
        <v/>
      </c>
      <c r="X188" s="44" t="str">
        <f>IF($P188="High",$T188,IF($P188="Mix",SUMIF('High_Low Voltage Mix Summary'!$B$10:$B$17,$B648,'High_Low Voltage Mix Summary'!$F$10:$F$17),""))</f>
        <v/>
      </c>
      <c r="Y188" s="44" t="str">
        <f>IF($P188="Low",$T188,IF($P188="Mix",SUMIF('High_Low Voltage Mix Summary'!$B$10:$B$17,$B648,'High_Low Voltage Mix Summary'!$G$10:$G$17),""))</f>
        <v/>
      </c>
      <c r="Z188" s="44" t="str">
        <f>IF(OR($P188="High",$P188="Low"),"",IF($P188="Mix",SUMIF('High_Low Voltage Mix Summary'!$B$10:$B$17,$B648,'High_Low Voltage Mix Summary'!$H$10:$H$17),""))</f>
        <v/>
      </c>
      <c r="AB188" s="49">
        <f>SUMIF('Antelope Bailey Split BA'!$B$7:$B$29,B188,'Antelope Bailey Split BA'!$C$7:$C$29)</f>
        <v>0</v>
      </c>
      <c r="AC188" s="49" t="str">
        <f>IF(AND(AB188=1,'Plant Total by Account'!$H$1=2),"EKWRA","")</f>
        <v/>
      </c>
    </row>
    <row r="189" spans="1:29" x14ac:dyDescent="0.2">
      <c r="A189" s="39" t="s">
        <v>2735</v>
      </c>
      <c r="B189" s="45" t="s">
        <v>286</v>
      </c>
      <c r="C189" s="40" t="s">
        <v>3334</v>
      </c>
      <c r="D189" s="53">
        <v>11577.95</v>
      </c>
      <c r="E189" s="53">
        <v>152120.35</v>
      </c>
      <c r="F189" s="53">
        <v>13385727.869999999</v>
      </c>
      <c r="G189" s="578">
        <f t="shared" si="27"/>
        <v>13549426.17</v>
      </c>
      <c r="H189" s="41"/>
      <c r="I189" s="41"/>
      <c r="J189" s="41"/>
      <c r="K189" s="41">
        <f t="shared" si="29"/>
        <v>11577.95</v>
      </c>
      <c r="L189" s="41">
        <f t="shared" si="30"/>
        <v>152120.35</v>
      </c>
      <c r="M189" s="41">
        <f t="shared" si="31"/>
        <v>13385727.869999999</v>
      </c>
      <c r="N189" s="363">
        <f t="shared" si="28"/>
        <v>0</v>
      </c>
      <c r="O189" s="43" t="s">
        <v>3309</v>
      </c>
      <c r="P189" s="43"/>
      <c r="R189" s="41">
        <f t="shared" si="24"/>
        <v>0</v>
      </c>
      <c r="S189" s="41">
        <f t="shared" si="25"/>
        <v>0</v>
      </c>
      <c r="T189" s="41">
        <f t="shared" si="26"/>
        <v>0</v>
      </c>
      <c r="U189" s="41"/>
      <c r="V189" s="44" t="str">
        <f>IF($P189="High",$S189,IF($P189="Mix",SUMIF('High_Low Voltage Mix Summary'!$B$10:$B$17,$B122,'High_Low Voltage Mix Summary'!$D$10:$D$17),""))</f>
        <v/>
      </c>
      <c r="W189" s="44" t="str">
        <f>IF($P189="Low",$S189,IF($P189="Mix",SUMIF('High_Low Voltage Mix Summary'!$B$10:$B$17,$B122,'High_Low Voltage Mix Summary'!$E$10:$E$17),""))</f>
        <v/>
      </c>
      <c r="X189" s="44" t="str">
        <f>IF($P189="High",$T189,IF($P189="Mix",SUMIF('High_Low Voltage Mix Summary'!$B$10:$B$17,$B122,'High_Low Voltage Mix Summary'!$F$10:$F$17),""))</f>
        <v/>
      </c>
      <c r="Y189" s="44" t="str">
        <f>IF($P189="Low",$T189,IF($P189="Mix",SUMIF('High_Low Voltage Mix Summary'!$B$10:$B$17,$B122,'High_Low Voltage Mix Summary'!$G$10:$G$17),""))</f>
        <v/>
      </c>
      <c r="Z189" s="44" t="str">
        <f>IF(OR($P189="High",$P189="Low"),"",IF($P189="Mix",SUMIF('High_Low Voltage Mix Summary'!$B$10:$B$17,$B122,'High_Low Voltage Mix Summary'!$H$10:$H$17),""))</f>
        <v/>
      </c>
      <c r="AB189" s="49">
        <f>SUMIF('Antelope Bailey Split BA'!$B$7:$B$29,B189,'Antelope Bailey Split BA'!$C$7:$C$29)</f>
        <v>0</v>
      </c>
      <c r="AC189" s="49" t="str">
        <f>IF(AND(AB189=1,'Plant Total by Account'!$H$1=2),"EKWRA","")</f>
        <v/>
      </c>
    </row>
    <row r="190" spans="1:29" x14ac:dyDescent="0.2">
      <c r="A190" s="39" t="s">
        <v>2736</v>
      </c>
      <c r="B190" s="45" t="s">
        <v>287</v>
      </c>
      <c r="C190" s="40" t="s">
        <v>3333</v>
      </c>
      <c r="D190" s="53">
        <v>19082.03</v>
      </c>
      <c r="E190" s="53">
        <v>96050.22</v>
      </c>
      <c r="F190" s="53">
        <v>726239.66999999993</v>
      </c>
      <c r="G190" s="578">
        <f t="shared" si="27"/>
        <v>841371.91999999993</v>
      </c>
      <c r="H190" s="41"/>
      <c r="I190" s="41"/>
      <c r="J190" s="41"/>
      <c r="K190" s="41">
        <f t="shared" si="29"/>
        <v>19082.03</v>
      </c>
      <c r="L190" s="41">
        <f t="shared" si="30"/>
        <v>96050.22</v>
      </c>
      <c r="M190" s="41">
        <f t="shared" si="31"/>
        <v>726239.66999999993</v>
      </c>
      <c r="N190" s="363">
        <f t="shared" si="28"/>
        <v>0</v>
      </c>
      <c r="O190" s="43" t="s">
        <v>3309</v>
      </c>
      <c r="P190" s="43"/>
      <c r="R190" s="41">
        <f t="shared" si="24"/>
        <v>0</v>
      </c>
      <c r="S190" s="41">
        <f t="shared" si="25"/>
        <v>0</v>
      </c>
      <c r="T190" s="41">
        <f t="shared" si="26"/>
        <v>0</v>
      </c>
      <c r="U190" s="41"/>
      <c r="V190" s="44" t="str">
        <f>IF($P190="High",$S190,IF($P190="Mix",SUMIF('High_Low Voltage Mix Summary'!$B$10:$B$17,$B123,'High_Low Voltage Mix Summary'!$D$10:$D$17),""))</f>
        <v/>
      </c>
      <c r="W190" s="44" t="str">
        <f>IF($P190="Low",$S190,IF($P190="Mix",SUMIF('High_Low Voltage Mix Summary'!$B$10:$B$17,$B123,'High_Low Voltage Mix Summary'!$E$10:$E$17),""))</f>
        <v/>
      </c>
      <c r="X190" s="44" t="str">
        <f>IF($P190="High",$T190,IF($P190="Mix",SUMIF('High_Low Voltage Mix Summary'!$B$10:$B$17,$B123,'High_Low Voltage Mix Summary'!$F$10:$F$17),""))</f>
        <v/>
      </c>
      <c r="Y190" s="44" t="str">
        <f>IF($P190="Low",$T190,IF($P190="Mix",SUMIF('High_Low Voltage Mix Summary'!$B$10:$B$17,$B123,'High_Low Voltage Mix Summary'!$G$10:$G$17),""))</f>
        <v/>
      </c>
      <c r="Z190" s="44" t="str">
        <f>IF(OR($P190="High",$P190="Low"),"",IF($P190="Mix",SUMIF('High_Low Voltage Mix Summary'!$B$10:$B$17,$B123,'High_Low Voltage Mix Summary'!$H$10:$H$17),""))</f>
        <v/>
      </c>
      <c r="AB190" s="49">
        <f>SUMIF('Antelope Bailey Split BA'!$B$7:$B$29,B190,'Antelope Bailey Split BA'!$C$7:$C$29)</f>
        <v>0</v>
      </c>
      <c r="AC190" s="49" t="str">
        <f>IF(AND(AB190=1,'Plant Total by Account'!$H$1=2),"EKWRA","")</f>
        <v/>
      </c>
    </row>
    <row r="191" spans="1:29" x14ac:dyDescent="0.2">
      <c r="A191" s="39" t="s">
        <v>2737</v>
      </c>
      <c r="B191" s="45" t="s">
        <v>288</v>
      </c>
      <c r="C191" s="40" t="s">
        <v>3334</v>
      </c>
      <c r="D191" s="53">
        <v>19461.740000000002</v>
      </c>
      <c r="E191" s="53">
        <v>414761.10000000003</v>
      </c>
      <c r="F191" s="53">
        <v>10747119.020000007</v>
      </c>
      <c r="G191" s="578">
        <f t="shared" si="27"/>
        <v>11181341.860000007</v>
      </c>
      <c r="H191" s="41"/>
      <c r="I191" s="41"/>
      <c r="J191" s="41"/>
      <c r="K191" s="41">
        <f t="shared" si="29"/>
        <v>19461.740000000002</v>
      </c>
      <c r="L191" s="41">
        <f t="shared" si="30"/>
        <v>414761.10000000003</v>
      </c>
      <c r="M191" s="41">
        <f t="shared" si="31"/>
        <v>10747119.020000007</v>
      </c>
      <c r="N191" s="363">
        <f t="shared" si="28"/>
        <v>0</v>
      </c>
      <c r="O191" s="43" t="s">
        <v>3309</v>
      </c>
      <c r="P191" s="43"/>
      <c r="R191" s="41">
        <f t="shared" si="24"/>
        <v>0</v>
      </c>
      <c r="S191" s="41">
        <f t="shared" si="25"/>
        <v>0</v>
      </c>
      <c r="T191" s="41">
        <f t="shared" si="26"/>
        <v>0</v>
      </c>
      <c r="U191" s="41"/>
      <c r="V191" s="44" t="str">
        <f>IF($P191="High",$S191,IF($P191="Mix",SUMIF('High_Low Voltage Mix Summary'!$B$10:$B$17,$B649,'High_Low Voltage Mix Summary'!$D$10:$D$17),""))</f>
        <v/>
      </c>
      <c r="W191" s="44" t="str">
        <f>IF($P191="Low",$S191,IF($P191="Mix",SUMIF('High_Low Voltage Mix Summary'!$B$10:$B$17,$B649,'High_Low Voltage Mix Summary'!$E$10:$E$17),""))</f>
        <v/>
      </c>
      <c r="X191" s="44" t="str">
        <f>IF($P191="High",$T191,IF($P191="Mix",SUMIF('High_Low Voltage Mix Summary'!$B$10:$B$17,$B649,'High_Low Voltage Mix Summary'!$F$10:$F$17),""))</f>
        <v/>
      </c>
      <c r="Y191" s="44" t="str">
        <f>IF($P191="Low",$T191,IF($P191="Mix",SUMIF('High_Low Voltage Mix Summary'!$B$10:$B$17,$B649,'High_Low Voltage Mix Summary'!$G$10:$G$17),""))</f>
        <v/>
      </c>
      <c r="Z191" s="44" t="str">
        <f>IF(OR($P191="High",$P191="Low"),"",IF($P191="Mix",SUMIF('High_Low Voltage Mix Summary'!$B$10:$B$17,$B649,'High_Low Voltage Mix Summary'!$H$10:$H$17),""))</f>
        <v/>
      </c>
      <c r="AB191" s="49">
        <f>SUMIF('Antelope Bailey Split BA'!$B$7:$B$29,B191,'Antelope Bailey Split BA'!$C$7:$C$29)</f>
        <v>0</v>
      </c>
      <c r="AC191" s="49" t="str">
        <f>IF(AND(AB191=1,'Plant Total by Account'!$H$1=2),"EKWRA","")</f>
        <v/>
      </c>
    </row>
    <row r="192" spans="1:29" x14ac:dyDescent="0.2">
      <c r="A192" s="39" t="s">
        <v>2738</v>
      </c>
      <c r="B192" s="45" t="s">
        <v>289</v>
      </c>
      <c r="C192" s="40" t="s">
        <v>3334</v>
      </c>
      <c r="D192" s="53">
        <v>12335.79</v>
      </c>
      <c r="E192" s="53">
        <v>191040.29000000004</v>
      </c>
      <c r="F192" s="53">
        <v>1477775.3199999998</v>
      </c>
      <c r="G192" s="578">
        <f t="shared" si="27"/>
        <v>1681151.4</v>
      </c>
      <c r="H192" s="41"/>
      <c r="I192" s="41"/>
      <c r="J192" s="41"/>
      <c r="K192" s="41">
        <f t="shared" si="29"/>
        <v>12335.79</v>
      </c>
      <c r="L192" s="41">
        <f t="shared" si="30"/>
        <v>191040.29000000004</v>
      </c>
      <c r="M192" s="41">
        <f t="shared" si="31"/>
        <v>1477775.3199999998</v>
      </c>
      <c r="N192" s="363">
        <f t="shared" si="28"/>
        <v>0</v>
      </c>
      <c r="O192" s="43" t="s">
        <v>3309</v>
      </c>
      <c r="P192" s="43"/>
      <c r="R192" s="41">
        <f t="shared" si="24"/>
        <v>0</v>
      </c>
      <c r="S192" s="41">
        <f t="shared" si="25"/>
        <v>0</v>
      </c>
      <c r="T192" s="41">
        <f t="shared" si="26"/>
        <v>0</v>
      </c>
      <c r="U192" s="41"/>
      <c r="V192" s="44" t="str">
        <f>IF($P192="High",$S192,IF($P192="Mix",SUMIF('High_Low Voltage Mix Summary'!$B$10:$B$17,$B124,'High_Low Voltage Mix Summary'!$D$10:$D$17),""))</f>
        <v/>
      </c>
      <c r="W192" s="44" t="str">
        <f>IF($P192="Low",$S192,IF($P192="Mix",SUMIF('High_Low Voltage Mix Summary'!$B$10:$B$17,$B124,'High_Low Voltage Mix Summary'!$E$10:$E$17),""))</f>
        <v/>
      </c>
      <c r="X192" s="44" t="str">
        <f>IF($P192="High",$T192,IF($P192="Mix",SUMIF('High_Low Voltage Mix Summary'!$B$10:$B$17,$B124,'High_Low Voltage Mix Summary'!$F$10:$F$17),""))</f>
        <v/>
      </c>
      <c r="Y192" s="44" t="str">
        <f>IF($P192="Low",$T192,IF($P192="Mix",SUMIF('High_Low Voltage Mix Summary'!$B$10:$B$17,$B124,'High_Low Voltage Mix Summary'!$G$10:$G$17),""))</f>
        <v/>
      </c>
      <c r="Z192" s="44" t="str">
        <f>IF(OR($P192="High",$P192="Low"),"",IF($P192="Mix",SUMIF('High_Low Voltage Mix Summary'!$B$10:$B$17,$B124,'High_Low Voltage Mix Summary'!$H$10:$H$17),""))</f>
        <v/>
      </c>
      <c r="AB192" s="49">
        <f>SUMIF('Antelope Bailey Split BA'!$B$7:$B$29,B192,'Antelope Bailey Split BA'!$C$7:$C$29)</f>
        <v>0</v>
      </c>
      <c r="AC192" s="49" t="str">
        <f>IF(AND(AB192=1,'Plant Total by Account'!$H$1=2),"EKWRA","")</f>
        <v/>
      </c>
    </row>
    <row r="193" spans="1:29" x14ac:dyDescent="0.2">
      <c r="A193" s="39" t="s">
        <v>2739</v>
      </c>
      <c r="B193" s="45" t="s">
        <v>290</v>
      </c>
      <c r="C193" s="40" t="s">
        <v>3334</v>
      </c>
      <c r="D193" s="53">
        <v>37068.980000000003</v>
      </c>
      <c r="E193" s="53">
        <v>176172.15</v>
      </c>
      <c r="F193" s="53">
        <v>3922650.0599999996</v>
      </c>
      <c r="G193" s="578">
        <f t="shared" si="27"/>
        <v>4135891.1899999995</v>
      </c>
      <c r="H193" s="41"/>
      <c r="I193" s="41"/>
      <c r="J193" s="41"/>
      <c r="K193" s="41">
        <f t="shared" si="29"/>
        <v>37068.980000000003</v>
      </c>
      <c r="L193" s="41">
        <f t="shared" si="30"/>
        <v>176172.15</v>
      </c>
      <c r="M193" s="41">
        <f t="shared" si="31"/>
        <v>3922650.0599999996</v>
      </c>
      <c r="N193" s="363">
        <f t="shared" si="28"/>
        <v>0</v>
      </c>
      <c r="O193" s="43" t="s">
        <v>3309</v>
      </c>
      <c r="P193" s="43"/>
      <c r="R193" s="41">
        <f t="shared" si="24"/>
        <v>0</v>
      </c>
      <c r="S193" s="41">
        <f t="shared" si="25"/>
        <v>0</v>
      </c>
      <c r="T193" s="41">
        <f t="shared" si="26"/>
        <v>0</v>
      </c>
      <c r="U193" s="41"/>
      <c r="V193" s="44" t="str">
        <f>IF($P193="High",$S193,IF($P193="Mix",SUMIF('High_Low Voltage Mix Summary'!$B$10:$B$17,$B125,'High_Low Voltage Mix Summary'!$D$10:$D$17),""))</f>
        <v/>
      </c>
      <c r="W193" s="44" t="str">
        <f>IF($P193="Low",$S193,IF($P193="Mix",SUMIF('High_Low Voltage Mix Summary'!$B$10:$B$17,$B125,'High_Low Voltage Mix Summary'!$E$10:$E$17),""))</f>
        <v/>
      </c>
      <c r="X193" s="44" t="str">
        <f>IF($P193="High",$T193,IF($P193="Mix",SUMIF('High_Low Voltage Mix Summary'!$B$10:$B$17,$B125,'High_Low Voltage Mix Summary'!$F$10:$F$17),""))</f>
        <v/>
      </c>
      <c r="Y193" s="44" t="str">
        <f>IF($P193="Low",$T193,IF($P193="Mix",SUMIF('High_Low Voltage Mix Summary'!$B$10:$B$17,$B125,'High_Low Voltage Mix Summary'!$G$10:$G$17),""))</f>
        <v/>
      </c>
      <c r="Z193" s="44" t="str">
        <f>IF(OR($P193="High",$P193="Low"),"",IF($P193="Mix",SUMIF('High_Low Voltage Mix Summary'!$B$10:$B$17,$B125,'High_Low Voltage Mix Summary'!$H$10:$H$17),""))</f>
        <v/>
      </c>
      <c r="AB193" s="49">
        <f>SUMIF('Antelope Bailey Split BA'!$B$7:$B$29,B193,'Antelope Bailey Split BA'!$C$7:$C$29)</f>
        <v>0</v>
      </c>
      <c r="AC193" s="49" t="str">
        <f>IF(AND(AB193=1,'Plant Total by Account'!$H$1=2),"EKWRA","")</f>
        <v/>
      </c>
    </row>
    <row r="194" spans="1:29" x14ac:dyDescent="0.2">
      <c r="A194" s="39" t="s">
        <v>2417</v>
      </c>
      <c r="B194" s="45" t="s">
        <v>291</v>
      </c>
      <c r="C194" s="40" t="s">
        <v>3334</v>
      </c>
      <c r="D194" s="53">
        <v>199473.11000000002</v>
      </c>
      <c r="E194" s="53">
        <v>437813.31000000006</v>
      </c>
      <c r="F194" s="53">
        <v>1793386.7600000009</v>
      </c>
      <c r="G194" s="578">
        <f t="shared" si="27"/>
        <v>2430673.1800000011</v>
      </c>
      <c r="H194" s="41"/>
      <c r="I194" s="41"/>
      <c r="J194" s="41"/>
      <c r="K194" s="41">
        <f t="shared" si="29"/>
        <v>199473.11000000002</v>
      </c>
      <c r="L194" s="41">
        <f t="shared" si="30"/>
        <v>437813.31000000006</v>
      </c>
      <c r="M194" s="41">
        <f t="shared" si="31"/>
        <v>1793386.7600000009</v>
      </c>
      <c r="N194" s="363">
        <f t="shared" si="28"/>
        <v>0</v>
      </c>
      <c r="O194" s="43" t="s">
        <v>3309</v>
      </c>
      <c r="P194" s="43"/>
      <c r="R194" s="41">
        <f t="shared" si="24"/>
        <v>0</v>
      </c>
      <c r="S194" s="41">
        <f t="shared" si="25"/>
        <v>0</v>
      </c>
      <c r="T194" s="41">
        <f t="shared" si="26"/>
        <v>0</v>
      </c>
      <c r="U194" s="41"/>
      <c r="V194" s="44" t="str">
        <f>IF($P194="High",$S194,IF($P194="Mix",SUMIF('High_Low Voltage Mix Summary'!$B$10:$B$17,$B126,'High_Low Voltage Mix Summary'!$D$10:$D$17),""))</f>
        <v/>
      </c>
      <c r="W194" s="44" t="str">
        <f>IF($P194="Low",$S194,IF($P194="Mix",SUMIF('High_Low Voltage Mix Summary'!$B$10:$B$17,$B126,'High_Low Voltage Mix Summary'!$E$10:$E$17),""))</f>
        <v/>
      </c>
      <c r="X194" s="44" t="str">
        <f>IF($P194="High",$T194,IF($P194="Mix",SUMIF('High_Low Voltage Mix Summary'!$B$10:$B$17,$B126,'High_Low Voltage Mix Summary'!$F$10:$F$17),""))</f>
        <v/>
      </c>
      <c r="Y194" s="44" t="str">
        <f>IF($P194="Low",$T194,IF($P194="Mix",SUMIF('High_Low Voltage Mix Summary'!$B$10:$B$17,$B126,'High_Low Voltage Mix Summary'!$G$10:$G$17),""))</f>
        <v/>
      </c>
      <c r="Z194" s="44" t="str">
        <f>IF(OR($P194="High",$P194="Low"),"",IF($P194="Mix",SUMIF('High_Low Voltage Mix Summary'!$B$10:$B$17,$B126,'High_Low Voltage Mix Summary'!$H$10:$H$17),""))</f>
        <v/>
      </c>
      <c r="AB194" s="49">
        <f>SUMIF('Antelope Bailey Split BA'!$B$7:$B$29,B194,'Antelope Bailey Split BA'!$C$7:$C$29)</f>
        <v>0</v>
      </c>
      <c r="AC194" s="49" t="str">
        <f>IF(AND(AB194=1,'Plant Total by Account'!$H$1=2),"EKWRA","")</f>
        <v/>
      </c>
    </row>
    <row r="195" spans="1:29" x14ac:dyDescent="0.2">
      <c r="A195" s="39" t="s">
        <v>2740</v>
      </c>
      <c r="B195" s="45" t="s">
        <v>292</v>
      </c>
      <c r="C195" s="40" t="s">
        <v>3334</v>
      </c>
      <c r="D195" s="53">
        <v>160109.14000000001</v>
      </c>
      <c r="E195" s="53">
        <v>203954.8</v>
      </c>
      <c r="F195" s="53">
        <v>7537830.7600000007</v>
      </c>
      <c r="G195" s="578">
        <f t="shared" si="27"/>
        <v>7901894.7000000011</v>
      </c>
      <c r="H195" s="41"/>
      <c r="I195" s="41"/>
      <c r="J195" s="41"/>
      <c r="K195" s="41">
        <f t="shared" si="29"/>
        <v>160109.14000000001</v>
      </c>
      <c r="L195" s="41">
        <f t="shared" si="30"/>
        <v>203954.8</v>
      </c>
      <c r="M195" s="41">
        <f t="shared" si="31"/>
        <v>7537830.7600000007</v>
      </c>
      <c r="N195" s="363">
        <f t="shared" si="28"/>
        <v>0</v>
      </c>
      <c r="O195" s="43" t="s">
        <v>3309</v>
      </c>
      <c r="P195" s="43"/>
      <c r="R195" s="41">
        <f t="shared" si="24"/>
        <v>0</v>
      </c>
      <c r="S195" s="41">
        <f t="shared" si="25"/>
        <v>0</v>
      </c>
      <c r="T195" s="41">
        <f t="shared" si="26"/>
        <v>0</v>
      </c>
      <c r="U195" s="41"/>
      <c r="V195" s="44" t="str">
        <f>IF($P195="High",$S195,IF($P195="Mix",SUMIF('High_Low Voltage Mix Summary'!$B$10:$B$17,$B127,'High_Low Voltage Mix Summary'!$D$10:$D$17),""))</f>
        <v/>
      </c>
      <c r="W195" s="44" t="str">
        <f>IF($P195="Low",$S195,IF($P195="Mix",SUMIF('High_Low Voltage Mix Summary'!$B$10:$B$17,$B127,'High_Low Voltage Mix Summary'!$E$10:$E$17),""))</f>
        <v/>
      </c>
      <c r="X195" s="44" t="str">
        <f>IF($P195="High",$T195,IF($P195="Mix",SUMIF('High_Low Voltage Mix Summary'!$B$10:$B$17,$B127,'High_Low Voltage Mix Summary'!$F$10:$F$17),""))</f>
        <v/>
      </c>
      <c r="Y195" s="44" t="str">
        <f>IF($P195="Low",$T195,IF($P195="Mix",SUMIF('High_Low Voltage Mix Summary'!$B$10:$B$17,$B127,'High_Low Voltage Mix Summary'!$G$10:$G$17),""))</f>
        <v/>
      </c>
      <c r="Z195" s="44" t="str">
        <f>IF(OR($P195="High",$P195="Low"),"",IF($P195="Mix",SUMIF('High_Low Voltage Mix Summary'!$B$10:$B$17,$B127,'High_Low Voltage Mix Summary'!$H$10:$H$17),""))</f>
        <v/>
      </c>
      <c r="AB195" s="49">
        <f>SUMIF('Antelope Bailey Split BA'!$B$7:$B$29,B195,'Antelope Bailey Split BA'!$C$7:$C$29)</f>
        <v>0</v>
      </c>
      <c r="AC195" s="49" t="str">
        <f>IF(AND(AB195=1,'Plant Total by Account'!$H$1=2),"EKWRA","")</f>
        <v/>
      </c>
    </row>
    <row r="196" spans="1:29" x14ac:dyDescent="0.2">
      <c r="A196" s="39" t="s">
        <v>2741</v>
      </c>
      <c r="B196" s="45" t="s">
        <v>293</v>
      </c>
      <c r="C196" s="40" t="s">
        <v>3333</v>
      </c>
      <c r="D196" s="53">
        <v>3685.6400000000003</v>
      </c>
      <c r="E196" s="53">
        <v>62778.239999999998</v>
      </c>
      <c r="F196" s="53">
        <v>325874.53000000003</v>
      </c>
      <c r="G196" s="578">
        <f t="shared" si="27"/>
        <v>392338.41000000003</v>
      </c>
      <c r="H196" s="41"/>
      <c r="I196" s="41"/>
      <c r="J196" s="41"/>
      <c r="K196" s="41">
        <f t="shared" si="29"/>
        <v>3685.6400000000003</v>
      </c>
      <c r="L196" s="41">
        <f t="shared" si="30"/>
        <v>62778.239999999998</v>
      </c>
      <c r="M196" s="41">
        <f t="shared" si="31"/>
        <v>325874.53000000003</v>
      </c>
      <c r="N196" s="363">
        <f t="shared" si="28"/>
        <v>0</v>
      </c>
      <c r="O196" s="43" t="s">
        <v>3309</v>
      </c>
      <c r="P196" s="43"/>
      <c r="R196" s="41">
        <f t="shared" si="24"/>
        <v>0</v>
      </c>
      <c r="S196" s="41">
        <f t="shared" si="25"/>
        <v>0</v>
      </c>
      <c r="T196" s="41">
        <f t="shared" si="26"/>
        <v>0</v>
      </c>
      <c r="U196" s="41"/>
      <c r="V196" s="44" t="str">
        <f>IF($P196="High",$S196,IF($P196="Mix",SUMIF('High_Low Voltage Mix Summary'!$B$10:$B$17,$B128,'High_Low Voltage Mix Summary'!$D$10:$D$17),""))</f>
        <v/>
      </c>
      <c r="W196" s="44" t="str">
        <f>IF($P196="Low",$S196,IF($P196="Mix",SUMIF('High_Low Voltage Mix Summary'!$B$10:$B$17,$B128,'High_Low Voltage Mix Summary'!$E$10:$E$17),""))</f>
        <v/>
      </c>
      <c r="X196" s="44" t="str">
        <f>IF($P196="High",$T196,IF($P196="Mix",SUMIF('High_Low Voltage Mix Summary'!$B$10:$B$17,$B128,'High_Low Voltage Mix Summary'!$F$10:$F$17),""))</f>
        <v/>
      </c>
      <c r="Y196" s="44" t="str">
        <f>IF($P196="Low",$T196,IF($P196="Mix",SUMIF('High_Low Voltage Mix Summary'!$B$10:$B$17,$B128,'High_Low Voltage Mix Summary'!$G$10:$G$17),""))</f>
        <v/>
      </c>
      <c r="Z196" s="44" t="str">
        <f>IF(OR($P196="High",$P196="Low"),"",IF($P196="Mix",SUMIF('High_Low Voltage Mix Summary'!$B$10:$B$17,$B128,'High_Low Voltage Mix Summary'!$H$10:$H$17),""))</f>
        <v/>
      </c>
      <c r="AB196" s="49">
        <f>SUMIF('Antelope Bailey Split BA'!$B$7:$B$29,B196,'Antelope Bailey Split BA'!$C$7:$C$29)</f>
        <v>0</v>
      </c>
      <c r="AC196" s="49" t="str">
        <f>IF(AND(AB196=1,'Plant Total by Account'!$H$1=2),"EKWRA","")</f>
        <v/>
      </c>
    </row>
    <row r="197" spans="1:29" x14ac:dyDescent="0.2">
      <c r="A197" s="39" t="s">
        <v>2742</v>
      </c>
      <c r="B197" s="45" t="s">
        <v>294</v>
      </c>
      <c r="C197" s="40" t="s">
        <v>3334</v>
      </c>
      <c r="D197" s="53">
        <v>7593.4699999999993</v>
      </c>
      <c r="E197" s="53">
        <v>76399.350000000006</v>
      </c>
      <c r="F197" s="53">
        <v>3974922.02</v>
      </c>
      <c r="G197" s="578">
        <f t="shared" si="27"/>
        <v>4058914.84</v>
      </c>
      <c r="H197" s="41"/>
      <c r="I197" s="41"/>
      <c r="J197" s="41"/>
      <c r="K197" s="41">
        <f t="shared" si="29"/>
        <v>7593.4699999999993</v>
      </c>
      <c r="L197" s="41">
        <f t="shared" si="30"/>
        <v>76399.350000000006</v>
      </c>
      <c r="M197" s="41">
        <f t="shared" si="31"/>
        <v>3974922.02</v>
      </c>
      <c r="N197" s="363">
        <f t="shared" si="28"/>
        <v>0</v>
      </c>
      <c r="O197" s="43" t="s">
        <v>3309</v>
      </c>
      <c r="P197" s="43"/>
      <c r="R197" s="41">
        <f t="shared" ref="R197:R260" si="32">SUM(H197:J197)</f>
        <v>0</v>
      </c>
      <c r="S197" s="41">
        <f t="shared" ref="S197:S260" si="33">H197</f>
        <v>0</v>
      </c>
      <c r="T197" s="41">
        <f t="shared" ref="T197:T260" si="34">SUM(I197:J197)</f>
        <v>0</v>
      </c>
      <c r="U197" s="41"/>
      <c r="V197" s="44" t="str">
        <f>IF($P197="High",$S197,IF($P197="Mix",SUMIF('High_Low Voltage Mix Summary'!$B$10:$B$17,$B650,'High_Low Voltage Mix Summary'!$D$10:$D$17),""))</f>
        <v/>
      </c>
      <c r="W197" s="44" t="str">
        <f>IF($P197="Low",$S197,IF($P197="Mix",SUMIF('High_Low Voltage Mix Summary'!$B$10:$B$17,$B650,'High_Low Voltage Mix Summary'!$E$10:$E$17),""))</f>
        <v/>
      </c>
      <c r="X197" s="44" t="str">
        <f>IF($P197="High",$T197,IF($P197="Mix",SUMIF('High_Low Voltage Mix Summary'!$B$10:$B$17,$B650,'High_Low Voltage Mix Summary'!$F$10:$F$17),""))</f>
        <v/>
      </c>
      <c r="Y197" s="44" t="str">
        <f>IF($P197="Low",$T197,IF($P197="Mix",SUMIF('High_Low Voltage Mix Summary'!$B$10:$B$17,$B650,'High_Low Voltage Mix Summary'!$G$10:$G$17),""))</f>
        <v/>
      </c>
      <c r="Z197" s="44" t="str">
        <f>IF(OR($P197="High",$P197="Low"),"",IF($P197="Mix",SUMIF('High_Low Voltage Mix Summary'!$B$10:$B$17,$B650,'High_Low Voltage Mix Summary'!$H$10:$H$17),""))</f>
        <v/>
      </c>
      <c r="AB197" s="49">
        <f>SUMIF('Antelope Bailey Split BA'!$B$7:$B$29,B197,'Antelope Bailey Split BA'!$C$7:$C$29)</f>
        <v>0</v>
      </c>
      <c r="AC197" s="49" t="str">
        <f>IF(AND(AB197=1,'Plant Total by Account'!$H$1=2),"EKWRA","")</f>
        <v/>
      </c>
    </row>
    <row r="198" spans="1:29" x14ac:dyDescent="0.2">
      <c r="A198" s="39" t="s">
        <v>2743</v>
      </c>
      <c r="B198" s="45" t="s">
        <v>295</v>
      </c>
      <c r="C198" s="40" t="s">
        <v>3333</v>
      </c>
      <c r="D198" s="53">
        <v>2084.2200000000003</v>
      </c>
      <c r="E198" s="53">
        <v>19932.79</v>
      </c>
      <c r="F198" s="53">
        <v>387111.57000000007</v>
      </c>
      <c r="G198" s="578">
        <f t="shared" si="27"/>
        <v>409128.58000000007</v>
      </c>
      <c r="H198" s="41"/>
      <c r="I198" s="41"/>
      <c r="J198" s="41"/>
      <c r="K198" s="41">
        <f t="shared" si="29"/>
        <v>2084.2200000000003</v>
      </c>
      <c r="L198" s="41">
        <f t="shared" si="30"/>
        <v>19932.79</v>
      </c>
      <c r="M198" s="41">
        <f t="shared" si="31"/>
        <v>387111.57000000007</v>
      </c>
      <c r="N198" s="363">
        <f t="shared" si="28"/>
        <v>0</v>
      </c>
      <c r="O198" s="43" t="s">
        <v>3309</v>
      </c>
      <c r="P198" s="43"/>
      <c r="R198" s="41">
        <f t="shared" si="32"/>
        <v>0</v>
      </c>
      <c r="S198" s="41">
        <f t="shared" si="33"/>
        <v>0</v>
      </c>
      <c r="T198" s="41">
        <f t="shared" si="34"/>
        <v>0</v>
      </c>
      <c r="U198" s="41"/>
      <c r="V198" s="44" t="str">
        <f>IF($P198="High",$S198,IF($P198="Mix",SUMIF('High_Low Voltage Mix Summary'!$B$10:$B$17,$B129,'High_Low Voltage Mix Summary'!$D$10:$D$17),""))</f>
        <v/>
      </c>
      <c r="W198" s="44" t="str">
        <f>IF($P198="Low",$S198,IF($P198="Mix",SUMIF('High_Low Voltage Mix Summary'!$B$10:$B$17,$B129,'High_Low Voltage Mix Summary'!$E$10:$E$17),""))</f>
        <v/>
      </c>
      <c r="X198" s="44" t="str">
        <f>IF($P198="High",$T198,IF($P198="Mix",SUMIF('High_Low Voltage Mix Summary'!$B$10:$B$17,$B129,'High_Low Voltage Mix Summary'!$F$10:$F$17),""))</f>
        <v/>
      </c>
      <c r="Y198" s="44" t="str">
        <f>IF($P198="Low",$T198,IF($P198="Mix",SUMIF('High_Low Voltage Mix Summary'!$B$10:$B$17,$B129,'High_Low Voltage Mix Summary'!$G$10:$G$17),""))</f>
        <v/>
      </c>
      <c r="Z198" s="44" t="str">
        <f>IF(OR($P198="High",$P198="Low"),"",IF($P198="Mix",SUMIF('High_Low Voltage Mix Summary'!$B$10:$B$17,$B129,'High_Low Voltage Mix Summary'!$H$10:$H$17),""))</f>
        <v/>
      </c>
      <c r="AB198" s="49">
        <f>SUMIF('Antelope Bailey Split BA'!$B$7:$B$29,B198,'Antelope Bailey Split BA'!$C$7:$C$29)</f>
        <v>0</v>
      </c>
      <c r="AC198" s="49" t="str">
        <f>IF(AND(AB198=1,'Plant Total by Account'!$H$1=2),"EKWRA","")</f>
        <v/>
      </c>
    </row>
    <row r="199" spans="1:29" x14ac:dyDescent="0.2">
      <c r="A199" s="39" t="s">
        <v>2418</v>
      </c>
      <c r="B199" s="45" t="s">
        <v>296</v>
      </c>
      <c r="C199" s="40" t="s">
        <v>3334</v>
      </c>
      <c r="D199" s="53">
        <v>29664.690000000002</v>
      </c>
      <c r="E199" s="53">
        <v>100348.37</v>
      </c>
      <c r="F199" s="53">
        <v>4112932.3299999973</v>
      </c>
      <c r="G199" s="578">
        <f t="shared" si="27"/>
        <v>4242945.3899999969</v>
      </c>
      <c r="H199" s="41"/>
      <c r="I199" s="41"/>
      <c r="J199" s="41"/>
      <c r="K199" s="41">
        <f t="shared" si="29"/>
        <v>29664.690000000002</v>
      </c>
      <c r="L199" s="41">
        <f t="shared" si="30"/>
        <v>100348.37</v>
      </c>
      <c r="M199" s="41">
        <f t="shared" si="31"/>
        <v>4112932.3299999973</v>
      </c>
      <c r="N199" s="363">
        <f t="shared" si="28"/>
        <v>0</v>
      </c>
      <c r="O199" s="43" t="s">
        <v>3309</v>
      </c>
      <c r="P199" s="43"/>
      <c r="R199" s="41">
        <f t="shared" si="32"/>
        <v>0</v>
      </c>
      <c r="S199" s="41">
        <f t="shared" si="33"/>
        <v>0</v>
      </c>
      <c r="T199" s="41">
        <f t="shared" si="34"/>
        <v>0</v>
      </c>
      <c r="U199" s="41"/>
      <c r="V199" s="44" t="str">
        <f>IF($P199="High",$S199,IF($P199="Mix",SUMIF('High_Low Voltage Mix Summary'!$B$10:$B$17,$B651,'High_Low Voltage Mix Summary'!$D$10:$D$17),""))</f>
        <v/>
      </c>
      <c r="W199" s="44" t="str">
        <f>IF($P199="Low",$S199,IF($P199="Mix",SUMIF('High_Low Voltage Mix Summary'!$B$10:$B$17,$B651,'High_Low Voltage Mix Summary'!$E$10:$E$17),""))</f>
        <v/>
      </c>
      <c r="X199" s="44" t="str">
        <f>IF($P199="High",$T199,IF($P199="Mix",SUMIF('High_Low Voltage Mix Summary'!$B$10:$B$17,$B651,'High_Low Voltage Mix Summary'!$F$10:$F$17),""))</f>
        <v/>
      </c>
      <c r="Y199" s="44" t="str">
        <f>IF($P199="Low",$T199,IF($P199="Mix",SUMIF('High_Low Voltage Mix Summary'!$B$10:$B$17,$B651,'High_Low Voltage Mix Summary'!$G$10:$G$17),""))</f>
        <v/>
      </c>
      <c r="Z199" s="44" t="str">
        <f>IF(OR($P199="High",$P199="Low"),"",IF($P199="Mix",SUMIF('High_Low Voltage Mix Summary'!$B$10:$B$17,$B651,'High_Low Voltage Mix Summary'!$H$10:$H$17),""))</f>
        <v/>
      </c>
      <c r="AB199" s="49">
        <f>SUMIF('Antelope Bailey Split BA'!$B$7:$B$29,B199,'Antelope Bailey Split BA'!$C$7:$C$29)</f>
        <v>0</v>
      </c>
      <c r="AC199" s="49" t="str">
        <f>IF(AND(AB199=1,'Plant Total by Account'!$H$1=2),"EKWRA","")</f>
        <v/>
      </c>
    </row>
    <row r="200" spans="1:29" x14ac:dyDescent="0.2">
      <c r="A200" s="39" t="s">
        <v>2744</v>
      </c>
      <c r="B200" s="45" t="s">
        <v>297</v>
      </c>
      <c r="C200" s="40" t="s">
        <v>3334</v>
      </c>
      <c r="D200" s="53">
        <v>19578.449999999997</v>
      </c>
      <c r="E200" s="53">
        <v>225531.95</v>
      </c>
      <c r="F200" s="53">
        <v>10658119.629999993</v>
      </c>
      <c r="G200" s="578">
        <f t="shared" si="27"/>
        <v>10903230.029999994</v>
      </c>
      <c r="H200" s="41"/>
      <c r="I200" s="41"/>
      <c r="J200" s="41"/>
      <c r="K200" s="41">
        <f t="shared" si="29"/>
        <v>19578.449999999997</v>
      </c>
      <c r="L200" s="41">
        <f t="shared" si="30"/>
        <v>225531.95</v>
      </c>
      <c r="M200" s="41">
        <f t="shared" si="31"/>
        <v>10658119.629999993</v>
      </c>
      <c r="N200" s="363">
        <f t="shared" si="28"/>
        <v>0</v>
      </c>
      <c r="O200" s="43" t="s">
        <v>3309</v>
      </c>
      <c r="P200" s="43"/>
      <c r="R200" s="41">
        <f t="shared" si="32"/>
        <v>0</v>
      </c>
      <c r="S200" s="41">
        <f t="shared" si="33"/>
        <v>0</v>
      </c>
      <c r="T200" s="41">
        <f t="shared" si="34"/>
        <v>0</v>
      </c>
      <c r="U200" s="41"/>
      <c r="V200" s="44" t="str">
        <f>IF($P200="High",$S200,IF($P200="Mix",SUMIF('High_Low Voltage Mix Summary'!$B$10:$B$17,$B130,'High_Low Voltage Mix Summary'!$D$10:$D$17),""))</f>
        <v/>
      </c>
      <c r="W200" s="44" t="str">
        <f>IF($P200="Low",$S200,IF($P200="Mix",SUMIF('High_Low Voltage Mix Summary'!$B$10:$B$17,$B130,'High_Low Voltage Mix Summary'!$E$10:$E$17),""))</f>
        <v/>
      </c>
      <c r="X200" s="44" t="str">
        <f>IF($P200="High",$T200,IF($P200="Mix",SUMIF('High_Low Voltage Mix Summary'!$B$10:$B$17,$B130,'High_Low Voltage Mix Summary'!$F$10:$F$17),""))</f>
        <v/>
      </c>
      <c r="Y200" s="44" t="str">
        <f>IF($P200="Low",$T200,IF($P200="Mix",SUMIF('High_Low Voltage Mix Summary'!$B$10:$B$17,$B130,'High_Low Voltage Mix Summary'!$G$10:$G$17),""))</f>
        <v/>
      </c>
      <c r="Z200" s="44" t="str">
        <f>IF(OR($P200="High",$P200="Low"),"",IF($P200="Mix",SUMIF('High_Low Voltage Mix Summary'!$B$10:$B$17,$B130,'High_Low Voltage Mix Summary'!$H$10:$H$17),""))</f>
        <v/>
      </c>
      <c r="AB200" s="49">
        <f>SUMIF('Antelope Bailey Split BA'!$B$7:$B$29,B200,'Antelope Bailey Split BA'!$C$7:$C$29)</f>
        <v>0</v>
      </c>
      <c r="AC200" s="49" t="str">
        <f>IF(AND(AB200=1,'Plant Total by Account'!$H$1=2),"EKWRA","")</f>
        <v/>
      </c>
    </row>
    <row r="201" spans="1:29" x14ac:dyDescent="0.2">
      <c r="A201" s="39" t="s">
        <v>2745</v>
      </c>
      <c r="B201" s="45" t="s">
        <v>298</v>
      </c>
      <c r="C201" s="40" t="s">
        <v>3333</v>
      </c>
      <c r="D201" s="53">
        <v>5013.6000000000004</v>
      </c>
      <c r="E201" s="53">
        <v>373078.60000000003</v>
      </c>
      <c r="F201" s="53">
        <v>225908.55</v>
      </c>
      <c r="G201" s="578">
        <f t="shared" si="27"/>
        <v>604000.75</v>
      </c>
      <c r="H201" s="41"/>
      <c r="I201" s="41"/>
      <c r="J201" s="41"/>
      <c r="K201" s="41">
        <f t="shared" si="29"/>
        <v>5013.6000000000004</v>
      </c>
      <c r="L201" s="41">
        <f t="shared" si="30"/>
        <v>373078.60000000003</v>
      </c>
      <c r="M201" s="41">
        <f t="shared" si="31"/>
        <v>225908.55</v>
      </c>
      <c r="N201" s="363">
        <f t="shared" si="28"/>
        <v>0</v>
      </c>
      <c r="O201" s="43" t="s">
        <v>3309</v>
      </c>
      <c r="P201" s="43"/>
      <c r="R201" s="41">
        <f t="shared" si="32"/>
        <v>0</v>
      </c>
      <c r="S201" s="41">
        <f t="shared" si="33"/>
        <v>0</v>
      </c>
      <c r="T201" s="41">
        <f t="shared" si="34"/>
        <v>0</v>
      </c>
      <c r="U201" s="41"/>
      <c r="V201" s="44" t="str">
        <f>IF($P201="High",$S201,IF($P201="Mix",SUMIF('High_Low Voltage Mix Summary'!$B$10:$B$17,$B131,'High_Low Voltage Mix Summary'!$D$10:$D$17),""))</f>
        <v/>
      </c>
      <c r="W201" s="44" t="str">
        <f>IF($P201="Low",$S201,IF($P201="Mix",SUMIF('High_Low Voltage Mix Summary'!$B$10:$B$17,$B131,'High_Low Voltage Mix Summary'!$E$10:$E$17),""))</f>
        <v/>
      </c>
      <c r="X201" s="44" t="str">
        <f>IF($P201="High",$T201,IF($P201="Mix",SUMIF('High_Low Voltage Mix Summary'!$B$10:$B$17,$B131,'High_Low Voltage Mix Summary'!$F$10:$F$17),""))</f>
        <v/>
      </c>
      <c r="Y201" s="44" t="str">
        <f>IF($P201="Low",$T201,IF($P201="Mix",SUMIF('High_Low Voltage Mix Summary'!$B$10:$B$17,$B131,'High_Low Voltage Mix Summary'!$G$10:$G$17),""))</f>
        <v/>
      </c>
      <c r="Z201" s="44" t="str">
        <f>IF(OR($P201="High",$P201="Low"),"",IF($P201="Mix",SUMIF('High_Low Voltage Mix Summary'!$B$10:$B$17,$B131,'High_Low Voltage Mix Summary'!$H$10:$H$17),""))</f>
        <v/>
      </c>
      <c r="AB201" s="49">
        <f>SUMIF('Antelope Bailey Split BA'!$B$7:$B$29,B201,'Antelope Bailey Split BA'!$C$7:$C$29)</f>
        <v>0</v>
      </c>
      <c r="AC201" s="49" t="str">
        <f>IF(AND(AB201=1,'Plant Total by Account'!$H$1=2),"EKWRA","")</f>
        <v/>
      </c>
    </row>
    <row r="202" spans="1:29" x14ac:dyDescent="0.2">
      <c r="A202" s="39" t="s">
        <v>2746</v>
      </c>
      <c r="B202" s="45" t="s">
        <v>299</v>
      </c>
      <c r="C202" s="40" t="s">
        <v>3333</v>
      </c>
      <c r="D202" s="53">
        <v>132571.04</v>
      </c>
      <c r="E202" s="53">
        <v>125625.59000000001</v>
      </c>
      <c r="F202" s="53">
        <v>3406126.3899999978</v>
      </c>
      <c r="G202" s="578">
        <f t="shared" si="27"/>
        <v>3664323.0199999977</v>
      </c>
      <c r="H202" s="41"/>
      <c r="I202" s="41"/>
      <c r="J202" s="41"/>
      <c r="K202" s="41">
        <f t="shared" si="29"/>
        <v>132571.04</v>
      </c>
      <c r="L202" s="41">
        <f t="shared" si="30"/>
        <v>125625.59000000001</v>
      </c>
      <c r="M202" s="41">
        <f t="shared" si="31"/>
        <v>3406126.3899999978</v>
      </c>
      <c r="N202" s="363">
        <f t="shared" si="28"/>
        <v>0</v>
      </c>
      <c r="O202" s="43" t="s">
        <v>3309</v>
      </c>
      <c r="P202" s="43"/>
      <c r="R202" s="41">
        <f t="shared" si="32"/>
        <v>0</v>
      </c>
      <c r="S202" s="41">
        <f t="shared" si="33"/>
        <v>0</v>
      </c>
      <c r="T202" s="41">
        <f t="shared" si="34"/>
        <v>0</v>
      </c>
      <c r="U202" s="41"/>
      <c r="V202" s="44" t="str">
        <f>IF($P202="High",$S202,IF($P202="Mix",SUMIF('High_Low Voltage Mix Summary'!$B$10:$B$17,$B652,'High_Low Voltage Mix Summary'!$D$10:$D$17),""))</f>
        <v/>
      </c>
      <c r="W202" s="44" t="str">
        <f>IF($P202="Low",$S202,IF($P202="Mix",SUMIF('High_Low Voltage Mix Summary'!$B$10:$B$17,$B652,'High_Low Voltage Mix Summary'!$E$10:$E$17),""))</f>
        <v/>
      </c>
      <c r="X202" s="44" t="str">
        <f>IF($P202="High",$T202,IF($P202="Mix",SUMIF('High_Low Voltage Mix Summary'!$B$10:$B$17,$B652,'High_Low Voltage Mix Summary'!$F$10:$F$17),""))</f>
        <v/>
      </c>
      <c r="Y202" s="44" t="str">
        <f>IF($P202="Low",$T202,IF($P202="Mix",SUMIF('High_Low Voltage Mix Summary'!$B$10:$B$17,$B652,'High_Low Voltage Mix Summary'!$G$10:$G$17),""))</f>
        <v/>
      </c>
      <c r="Z202" s="44" t="str">
        <f>IF(OR($P202="High",$P202="Low"),"",IF($P202="Mix",SUMIF('High_Low Voltage Mix Summary'!$B$10:$B$17,$B652,'High_Low Voltage Mix Summary'!$H$10:$H$17),""))</f>
        <v/>
      </c>
      <c r="AB202" s="49">
        <f>SUMIF('Antelope Bailey Split BA'!$B$7:$B$29,B202,'Antelope Bailey Split BA'!$C$7:$C$29)</f>
        <v>0</v>
      </c>
      <c r="AC202" s="49" t="str">
        <f>IF(AND(AB202=1,'Plant Total by Account'!$H$1=2),"EKWRA","")</f>
        <v/>
      </c>
    </row>
    <row r="203" spans="1:29" x14ac:dyDescent="0.2">
      <c r="A203" s="39" t="s">
        <v>2747</v>
      </c>
      <c r="B203" s="45" t="s">
        <v>300</v>
      </c>
      <c r="C203" s="40" t="s">
        <v>3333</v>
      </c>
      <c r="D203" s="53">
        <v>41627.550000000003</v>
      </c>
      <c r="E203" s="53">
        <v>260386.68000000002</v>
      </c>
      <c r="F203" s="53">
        <v>1423079.55</v>
      </c>
      <c r="G203" s="578">
        <f t="shared" ref="G203:G266" si="35">SUM(D203:F203)</f>
        <v>1725093.78</v>
      </c>
      <c r="H203" s="41"/>
      <c r="I203" s="41"/>
      <c r="J203" s="41"/>
      <c r="K203" s="41">
        <f t="shared" si="29"/>
        <v>41627.550000000003</v>
      </c>
      <c r="L203" s="41">
        <f t="shared" si="30"/>
        <v>260386.68000000002</v>
      </c>
      <c r="M203" s="41">
        <f t="shared" si="31"/>
        <v>1423079.55</v>
      </c>
      <c r="N203" s="363">
        <f t="shared" ref="N203:N266" si="36">G203-SUM(H203:M203)</f>
        <v>0</v>
      </c>
      <c r="O203" s="43" t="s">
        <v>3309</v>
      </c>
      <c r="P203" s="43"/>
      <c r="R203" s="41">
        <f t="shared" si="32"/>
        <v>0</v>
      </c>
      <c r="S203" s="41">
        <f t="shared" si="33"/>
        <v>0</v>
      </c>
      <c r="T203" s="41">
        <f t="shared" si="34"/>
        <v>0</v>
      </c>
      <c r="U203" s="41"/>
      <c r="V203" s="44" t="str">
        <f>IF($P203="High",$S203,IF($P203="Mix",SUMIF('High_Low Voltage Mix Summary'!$B$10:$B$17,$B653,'High_Low Voltage Mix Summary'!$D$10:$D$17),""))</f>
        <v/>
      </c>
      <c r="W203" s="44" t="str">
        <f>IF($P203="Low",$S203,IF($P203="Mix",SUMIF('High_Low Voltage Mix Summary'!$B$10:$B$17,$B653,'High_Low Voltage Mix Summary'!$E$10:$E$17),""))</f>
        <v/>
      </c>
      <c r="X203" s="44" t="str">
        <f>IF($P203="High",$T203,IF($P203="Mix",SUMIF('High_Low Voltage Mix Summary'!$B$10:$B$17,$B653,'High_Low Voltage Mix Summary'!$F$10:$F$17),""))</f>
        <v/>
      </c>
      <c r="Y203" s="44" t="str">
        <f>IF($P203="Low",$T203,IF($P203="Mix",SUMIF('High_Low Voltage Mix Summary'!$B$10:$B$17,$B653,'High_Low Voltage Mix Summary'!$G$10:$G$17),""))</f>
        <v/>
      </c>
      <c r="Z203" s="44" t="str">
        <f>IF(OR($P203="High",$P203="Low"),"",IF($P203="Mix",SUMIF('High_Low Voltage Mix Summary'!$B$10:$B$17,$B653,'High_Low Voltage Mix Summary'!$H$10:$H$17),""))</f>
        <v/>
      </c>
      <c r="AB203" s="49">
        <f>SUMIF('Antelope Bailey Split BA'!$B$7:$B$29,B203,'Antelope Bailey Split BA'!$C$7:$C$29)</f>
        <v>0</v>
      </c>
      <c r="AC203" s="49" t="str">
        <f>IF(AND(AB203=1,'Plant Total by Account'!$H$1=2),"EKWRA","")</f>
        <v/>
      </c>
    </row>
    <row r="204" spans="1:29" x14ac:dyDescent="0.2">
      <c r="A204" s="39" t="s">
        <v>2748</v>
      </c>
      <c r="B204" s="45" t="s">
        <v>301</v>
      </c>
      <c r="C204" s="40" t="s">
        <v>3334</v>
      </c>
      <c r="D204" s="53">
        <v>229538.22</v>
      </c>
      <c r="E204" s="53">
        <v>167139.61000000002</v>
      </c>
      <c r="F204" s="53">
        <v>2931543.7499999972</v>
      </c>
      <c r="G204" s="578">
        <f t="shared" si="35"/>
        <v>3328221.5799999973</v>
      </c>
      <c r="H204" s="41"/>
      <c r="I204" s="41"/>
      <c r="J204" s="41"/>
      <c r="K204" s="41">
        <f t="shared" si="29"/>
        <v>229538.22</v>
      </c>
      <c r="L204" s="41">
        <f t="shared" si="30"/>
        <v>167139.61000000002</v>
      </c>
      <c r="M204" s="41">
        <f t="shared" si="31"/>
        <v>2931543.7499999972</v>
      </c>
      <c r="N204" s="363">
        <f t="shared" si="36"/>
        <v>0</v>
      </c>
      <c r="O204" s="43" t="s">
        <v>3309</v>
      </c>
      <c r="P204" s="43"/>
      <c r="R204" s="41">
        <f t="shared" si="32"/>
        <v>0</v>
      </c>
      <c r="S204" s="41">
        <f t="shared" si="33"/>
        <v>0</v>
      </c>
      <c r="T204" s="41">
        <f t="shared" si="34"/>
        <v>0</v>
      </c>
      <c r="U204" s="41"/>
      <c r="V204" s="44" t="str">
        <f>IF($P204="High",$S204,IF($P204="Mix",SUMIF('High_Low Voltage Mix Summary'!$B$10:$B$17,$B654,'High_Low Voltage Mix Summary'!$D$10:$D$17),""))</f>
        <v/>
      </c>
      <c r="W204" s="44" t="str">
        <f>IF($P204="Low",$S204,IF($P204="Mix",SUMIF('High_Low Voltage Mix Summary'!$B$10:$B$17,$B654,'High_Low Voltage Mix Summary'!$E$10:$E$17),""))</f>
        <v/>
      </c>
      <c r="X204" s="44" t="str">
        <f>IF($P204="High",$T204,IF($P204="Mix",SUMIF('High_Low Voltage Mix Summary'!$B$10:$B$17,$B654,'High_Low Voltage Mix Summary'!$F$10:$F$17),""))</f>
        <v/>
      </c>
      <c r="Y204" s="44" t="str">
        <f>IF($P204="Low",$T204,IF($P204="Mix",SUMIF('High_Low Voltage Mix Summary'!$B$10:$B$17,$B654,'High_Low Voltage Mix Summary'!$G$10:$G$17),""))</f>
        <v/>
      </c>
      <c r="Z204" s="44" t="str">
        <f>IF(OR($P204="High",$P204="Low"),"",IF($P204="Mix",SUMIF('High_Low Voltage Mix Summary'!$B$10:$B$17,$B654,'High_Low Voltage Mix Summary'!$H$10:$H$17),""))</f>
        <v/>
      </c>
      <c r="AB204" s="49">
        <f>SUMIF('Antelope Bailey Split BA'!$B$7:$B$29,B204,'Antelope Bailey Split BA'!$C$7:$C$29)</f>
        <v>0</v>
      </c>
      <c r="AC204" s="49" t="str">
        <f>IF(AND(AB204=1,'Plant Total by Account'!$H$1=2),"EKWRA","")</f>
        <v/>
      </c>
    </row>
    <row r="205" spans="1:29" x14ac:dyDescent="0.2">
      <c r="A205" s="39" t="s">
        <v>2749</v>
      </c>
      <c r="B205" s="45" t="s">
        <v>302</v>
      </c>
      <c r="C205" s="40" t="s">
        <v>3334</v>
      </c>
      <c r="D205" s="53">
        <v>0</v>
      </c>
      <c r="E205" s="53">
        <v>14306.939999999999</v>
      </c>
      <c r="F205" s="53">
        <v>1677792.48</v>
      </c>
      <c r="G205" s="578">
        <f t="shared" si="35"/>
        <v>1692099.42</v>
      </c>
      <c r="H205" s="41"/>
      <c r="I205" s="41"/>
      <c r="J205" s="41"/>
      <c r="K205" s="41">
        <f t="shared" si="29"/>
        <v>0</v>
      </c>
      <c r="L205" s="41">
        <f t="shared" si="30"/>
        <v>14306.939999999999</v>
      </c>
      <c r="M205" s="41">
        <f t="shared" si="31"/>
        <v>1677792.48</v>
      </c>
      <c r="N205" s="363">
        <f t="shared" si="36"/>
        <v>0</v>
      </c>
      <c r="O205" s="43" t="s">
        <v>3309</v>
      </c>
      <c r="P205" s="43"/>
      <c r="R205" s="41">
        <f t="shared" si="32"/>
        <v>0</v>
      </c>
      <c r="S205" s="41">
        <f t="shared" si="33"/>
        <v>0</v>
      </c>
      <c r="T205" s="41">
        <f t="shared" si="34"/>
        <v>0</v>
      </c>
      <c r="U205" s="41"/>
      <c r="V205" s="44" t="str">
        <f>IF($P205="High",$S205,IF($P205="Mix",SUMIF('High_Low Voltage Mix Summary'!$B$10:$B$17,$B132,'High_Low Voltage Mix Summary'!$D$10:$D$17),""))</f>
        <v/>
      </c>
      <c r="W205" s="44" t="str">
        <f>IF($P205="Low",$S205,IF($P205="Mix",SUMIF('High_Low Voltage Mix Summary'!$B$10:$B$17,$B132,'High_Low Voltage Mix Summary'!$E$10:$E$17),""))</f>
        <v/>
      </c>
      <c r="X205" s="44" t="str">
        <f>IF($P205="High",$T205,IF($P205="Mix",SUMIF('High_Low Voltage Mix Summary'!$B$10:$B$17,$B132,'High_Low Voltage Mix Summary'!$F$10:$F$17),""))</f>
        <v/>
      </c>
      <c r="Y205" s="44" t="str">
        <f>IF($P205="Low",$T205,IF($P205="Mix",SUMIF('High_Low Voltage Mix Summary'!$B$10:$B$17,$B132,'High_Low Voltage Mix Summary'!$G$10:$G$17),""))</f>
        <v/>
      </c>
      <c r="Z205" s="44" t="str">
        <f>IF(OR($P205="High",$P205="Low"),"",IF($P205="Mix",SUMIF('High_Low Voltage Mix Summary'!$B$10:$B$17,$B132,'High_Low Voltage Mix Summary'!$H$10:$H$17),""))</f>
        <v/>
      </c>
      <c r="AB205" s="49">
        <f>SUMIF('Antelope Bailey Split BA'!$B$7:$B$29,B205,'Antelope Bailey Split BA'!$C$7:$C$29)</f>
        <v>0</v>
      </c>
      <c r="AC205" s="49" t="str">
        <f>IF(AND(AB205=1,'Plant Total by Account'!$H$1=2),"EKWRA","")</f>
        <v/>
      </c>
    </row>
    <row r="206" spans="1:29" x14ac:dyDescent="0.2">
      <c r="A206" s="39" t="s">
        <v>2750</v>
      </c>
      <c r="B206" s="45" t="s">
        <v>303</v>
      </c>
      <c r="C206" s="40" t="s">
        <v>3333</v>
      </c>
      <c r="D206" s="53">
        <v>5207.97</v>
      </c>
      <c r="E206" s="53">
        <v>31441.190000000002</v>
      </c>
      <c r="F206" s="53">
        <v>142979.25999999998</v>
      </c>
      <c r="G206" s="578">
        <f t="shared" si="35"/>
        <v>179628.41999999998</v>
      </c>
      <c r="H206" s="41"/>
      <c r="I206" s="41"/>
      <c r="J206" s="41"/>
      <c r="K206" s="41">
        <f t="shared" si="29"/>
        <v>5207.97</v>
      </c>
      <c r="L206" s="41">
        <f t="shared" si="30"/>
        <v>31441.190000000002</v>
      </c>
      <c r="M206" s="41">
        <f t="shared" si="31"/>
        <v>142979.25999999998</v>
      </c>
      <c r="N206" s="363">
        <f t="shared" si="36"/>
        <v>0</v>
      </c>
      <c r="O206" s="43" t="s">
        <v>3309</v>
      </c>
      <c r="P206" s="43"/>
      <c r="R206" s="41">
        <f t="shared" si="32"/>
        <v>0</v>
      </c>
      <c r="S206" s="41">
        <f t="shared" si="33"/>
        <v>0</v>
      </c>
      <c r="T206" s="41">
        <f t="shared" si="34"/>
        <v>0</v>
      </c>
      <c r="U206" s="41"/>
      <c r="V206" s="44" t="str">
        <f>IF($P206="High",$S206,IF($P206="Mix",SUMIF('High_Low Voltage Mix Summary'!$B$10:$B$17,$B133,'High_Low Voltage Mix Summary'!$D$10:$D$17),""))</f>
        <v/>
      </c>
      <c r="W206" s="44" t="str">
        <f>IF($P206="Low",$S206,IF($P206="Mix",SUMIF('High_Low Voltage Mix Summary'!$B$10:$B$17,$B133,'High_Low Voltage Mix Summary'!$E$10:$E$17),""))</f>
        <v/>
      </c>
      <c r="X206" s="44" t="str">
        <f>IF($P206="High",$T206,IF($P206="Mix",SUMIF('High_Low Voltage Mix Summary'!$B$10:$B$17,$B133,'High_Low Voltage Mix Summary'!$F$10:$F$17),""))</f>
        <v/>
      </c>
      <c r="Y206" s="44" t="str">
        <f>IF($P206="Low",$T206,IF($P206="Mix",SUMIF('High_Low Voltage Mix Summary'!$B$10:$B$17,$B133,'High_Low Voltage Mix Summary'!$G$10:$G$17),""))</f>
        <v/>
      </c>
      <c r="Z206" s="44" t="str">
        <f>IF(OR($P206="High",$P206="Low"),"",IF($P206="Mix",SUMIF('High_Low Voltage Mix Summary'!$B$10:$B$17,$B133,'High_Low Voltage Mix Summary'!$H$10:$H$17),""))</f>
        <v/>
      </c>
      <c r="AB206" s="49">
        <f>SUMIF('Antelope Bailey Split BA'!$B$7:$B$29,B206,'Antelope Bailey Split BA'!$C$7:$C$29)</f>
        <v>0</v>
      </c>
      <c r="AC206" s="49" t="str">
        <f>IF(AND(AB206=1,'Plant Total by Account'!$H$1=2),"EKWRA","")</f>
        <v/>
      </c>
    </row>
    <row r="207" spans="1:29" x14ac:dyDescent="0.2">
      <c r="A207" s="39" t="s">
        <v>2751</v>
      </c>
      <c r="B207" s="45" t="s">
        <v>304</v>
      </c>
      <c r="C207" s="40" t="s">
        <v>3334</v>
      </c>
      <c r="D207" s="53">
        <v>0</v>
      </c>
      <c r="E207" s="53">
        <v>153083.25</v>
      </c>
      <c r="F207" s="53">
        <v>1063647.18</v>
      </c>
      <c r="G207" s="578">
        <f t="shared" si="35"/>
        <v>1216730.43</v>
      </c>
      <c r="H207" s="41"/>
      <c r="I207" s="41"/>
      <c r="J207" s="41"/>
      <c r="K207" s="41">
        <f t="shared" ref="K207:K270" si="37">D207</f>
        <v>0</v>
      </c>
      <c r="L207" s="41">
        <f t="shared" ref="L207:L270" si="38">E207</f>
        <v>153083.25</v>
      </c>
      <c r="M207" s="41">
        <f t="shared" ref="M207:M270" si="39">F207</f>
        <v>1063647.18</v>
      </c>
      <c r="N207" s="363">
        <f t="shared" si="36"/>
        <v>0</v>
      </c>
      <c r="O207" s="43" t="s">
        <v>3309</v>
      </c>
      <c r="P207" s="43"/>
      <c r="R207" s="41">
        <f t="shared" si="32"/>
        <v>0</v>
      </c>
      <c r="S207" s="41">
        <f t="shared" si="33"/>
        <v>0</v>
      </c>
      <c r="T207" s="41">
        <f t="shared" si="34"/>
        <v>0</v>
      </c>
      <c r="U207" s="41"/>
      <c r="V207" s="44" t="str">
        <f>IF($P207="High",$S207,IF($P207="Mix",SUMIF('High_Low Voltage Mix Summary'!$B$10:$B$17,$B655,'High_Low Voltage Mix Summary'!$D$10:$D$17),""))</f>
        <v/>
      </c>
      <c r="W207" s="44" t="str">
        <f>IF($P207="Low",$S207,IF($P207="Mix",SUMIF('High_Low Voltage Mix Summary'!$B$10:$B$17,$B655,'High_Low Voltage Mix Summary'!$E$10:$E$17),""))</f>
        <v/>
      </c>
      <c r="X207" s="44" t="str">
        <f>IF($P207="High",$T207,IF($P207="Mix",SUMIF('High_Low Voltage Mix Summary'!$B$10:$B$17,$B655,'High_Low Voltage Mix Summary'!$F$10:$F$17),""))</f>
        <v/>
      </c>
      <c r="Y207" s="44" t="str">
        <f>IF($P207="Low",$T207,IF($P207="Mix",SUMIF('High_Low Voltage Mix Summary'!$B$10:$B$17,$B655,'High_Low Voltage Mix Summary'!$G$10:$G$17),""))</f>
        <v/>
      </c>
      <c r="Z207" s="44" t="str">
        <f>IF(OR($P207="High",$P207="Low"),"",IF($P207="Mix",SUMIF('High_Low Voltage Mix Summary'!$B$10:$B$17,$B655,'High_Low Voltage Mix Summary'!$H$10:$H$17),""))</f>
        <v/>
      </c>
      <c r="AB207" s="49">
        <f>SUMIF('Antelope Bailey Split BA'!$B$7:$B$29,B207,'Antelope Bailey Split BA'!$C$7:$C$29)</f>
        <v>0</v>
      </c>
      <c r="AC207" s="49" t="str">
        <f>IF(AND(AB207=1,'Plant Total by Account'!$H$1=2),"EKWRA","")</f>
        <v/>
      </c>
    </row>
    <row r="208" spans="1:29" x14ac:dyDescent="0.2">
      <c r="A208" s="39" t="s">
        <v>2752</v>
      </c>
      <c r="B208" s="45" t="s">
        <v>305</v>
      </c>
      <c r="C208" s="40" t="s">
        <v>3334</v>
      </c>
      <c r="D208" s="53">
        <v>0</v>
      </c>
      <c r="E208" s="53">
        <v>8601.0300000000007</v>
      </c>
      <c r="F208" s="53">
        <v>46931.740000000013</v>
      </c>
      <c r="G208" s="578">
        <f t="shared" si="35"/>
        <v>55532.770000000011</v>
      </c>
      <c r="H208" s="41"/>
      <c r="I208" s="41"/>
      <c r="J208" s="41"/>
      <c r="K208" s="41">
        <f t="shared" si="37"/>
        <v>0</v>
      </c>
      <c r="L208" s="41">
        <f t="shared" si="38"/>
        <v>8601.0300000000007</v>
      </c>
      <c r="M208" s="41">
        <f t="shared" si="39"/>
        <v>46931.740000000013</v>
      </c>
      <c r="N208" s="363">
        <f t="shared" si="36"/>
        <v>0</v>
      </c>
      <c r="O208" s="43" t="s">
        <v>3309</v>
      </c>
      <c r="P208" s="43"/>
      <c r="R208" s="41">
        <f t="shared" si="32"/>
        <v>0</v>
      </c>
      <c r="S208" s="41">
        <f t="shared" si="33"/>
        <v>0</v>
      </c>
      <c r="T208" s="41">
        <f t="shared" si="34"/>
        <v>0</v>
      </c>
      <c r="U208" s="41"/>
      <c r="V208" s="44" t="str">
        <f>IF($P208="High",$S208,IF($P208="Mix",SUMIF('High_Low Voltage Mix Summary'!$B$10:$B$17,$B134,'High_Low Voltage Mix Summary'!$D$10:$D$17),""))</f>
        <v/>
      </c>
      <c r="W208" s="44" t="str">
        <f>IF($P208="Low",$S208,IF($P208="Mix",SUMIF('High_Low Voltage Mix Summary'!$B$10:$B$17,$B134,'High_Low Voltage Mix Summary'!$E$10:$E$17),""))</f>
        <v/>
      </c>
      <c r="X208" s="44" t="str">
        <f>IF($P208="High",$T208,IF($P208="Mix",SUMIF('High_Low Voltage Mix Summary'!$B$10:$B$17,$B134,'High_Low Voltage Mix Summary'!$F$10:$F$17),""))</f>
        <v/>
      </c>
      <c r="Y208" s="44" t="str">
        <f>IF($P208="Low",$T208,IF($P208="Mix",SUMIF('High_Low Voltage Mix Summary'!$B$10:$B$17,$B134,'High_Low Voltage Mix Summary'!$G$10:$G$17),""))</f>
        <v/>
      </c>
      <c r="Z208" s="44" t="str">
        <f>IF(OR($P208="High",$P208="Low"),"",IF($P208="Mix",SUMIF('High_Low Voltage Mix Summary'!$B$10:$B$17,$B134,'High_Low Voltage Mix Summary'!$H$10:$H$17),""))</f>
        <v/>
      </c>
      <c r="AB208" s="49">
        <f>SUMIF('Antelope Bailey Split BA'!$B$7:$B$29,B208,'Antelope Bailey Split BA'!$C$7:$C$29)</f>
        <v>0</v>
      </c>
      <c r="AC208" s="49" t="str">
        <f>IF(AND(AB208=1,'Plant Total by Account'!$H$1=2),"EKWRA","")</f>
        <v/>
      </c>
    </row>
    <row r="209" spans="1:29" x14ac:dyDescent="0.2">
      <c r="A209" s="39" t="s">
        <v>2753</v>
      </c>
      <c r="B209" s="45" t="s">
        <v>306</v>
      </c>
      <c r="C209" s="40" t="s">
        <v>3334</v>
      </c>
      <c r="D209" s="53">
        <v>27101.16</v>
      </c>
      <c r="E209" s="53">
        <v>72219.689999999988</v>
      </c>
      <c r="F209" s="53">
        <v>3187716.9499999993</v>
      </c>
      <c r="G209" s="578">
        <f t="shared" si="35"/>
        <v>3287037.7999999993</v>
      </c>
      <c r="H209" s="41"/>
      <c r="I209" s="41"/>
      <c r="J209" s="41"/>
      <c r="K209" s="41">
        <f t="shared" si="37"/>
        <v>27101.16</v>
      </c>
      <c r="L209" s="41">
        <f t="shared" si="38"/>
        <v>72219.689999999988</v>
      </c>
      <c r="M209" s="41">
        <f t="shared" si="39"/>
        <v>3187716.9499999993</v>
      </c>
      <c r="N209" s="363">
        <f t="shared" si="36"/>
        <v>0</v>
      </c>
      <c r="O209" s="43" t="s">
        <v>3309</v>
      </c>
      <c r="P209" s="43"/>
      <c r="R209" s="41">
        <f t="shared" si="32"/>
        <v>0</v>
      </c>
      <c r="S209" s="41">
        <f t="shared" si="33"/>
        <v>0</v>
      </c>
      <c r="T209" s="41">
        <f t="shared" si="34"/>
        <v>0</v>
      </c>
      <c r="U209" s="41"/>
      <c r="V209" s="44" t="str">
        <f>IF($P209="High",$S209,IF($P209="Mix",SUMIF('High_Low Voltage Mix Summary'!$B$10:$B$17,$B135,'High_Low Voltage Mix Summary'!$D$10:$D$17),""))</f>
        <v/>
      </c>
      <c r="W209" s="44" t="str">
        <f>IF($P209="Low",$S209,IF($P209="Mix",SUMIF('High_Low Voltage Mix Summary'!$B$10:$B$17,$B135,'High_Low Voltage Mix Summary'!$E$10:$E$17),""))</f>
        <v/>
      </c>
      <c r="X209" s="44" t="str">
        <f>IF($P209="High",$T209,IF($P209="Mix",SUMIF('High_Low Voltage Mix Summary'!$B$10:$B$17,$B135,'High_Low Voltage Mix Summary'!$F$10:$F$17),""))</f>
        <v/>
      </c>
      <c r="Y209" s="44" t="str">
        <f>IF($P209="Low",$T209,IF($P209="Mix",SUMIF('High_Low Voltage Mix Summary'!$B$10:$B$17,$B135,'High_Low Voltage Mix Summary'!$G$10:$G$17),""))</f>
        <v/>
      </c>
      <c r="Z209" s="44" t="str">
        <f>IF(OR($P209="High",$P209="Low"),"",IF($P209="Mix",SUMIF('High_Low Voltage Mix Summary'!$B$10:$B$17,$B135,'High_Low Voltage Mix Summary'!$H$10:$H$17),""))</f>
        <v/>
      </c>
      <c r="AB209" s="49">
        <f>SUMIF('Antelope Bailey Split BA'!$B$7:$B$29,B209,'Antelope Bailey Split BA'!$C$7:$C$29)</f>
        <v>0</v>
      </c>
      <c r="AC209" s="49" t="str">
        <f>IF(AND(AB209=1,'Plant Total by Account'!$H$1=2),"EKWRA","")</f>
        <v/>
      </c>
    </row>
    <row r="210" spans="1:29" x14ac:dyDescent="0.2">
      <c r="A210" s="39" t="s">
        <v>2754</v>
      </c>
      <c r="B210" s="45" t="s">
        <v>307</v>
      </c>
      <c r="C210" s="40" t="s">
        <v>3334</v>
      </c>
      <c r="D210" s="53">
        <v>70.82000000000005</v>
      </c>
      <c r="E210" s="53">
        <v>8765.4500000000007</v>
      </c>
      <c r="F210" s="53">
        <v>0</v>
      </c>
      <c r="G210" s="578">
        <f t="shared" si="35"/>
        <v>8836.27</v>
      </c>
      <c r="H210" s="41"/>
      <c r="I210" s="41"/>
      <c r="J210" s="41"/>
      <c r="K210" s="41">
        <f t="shared" si="37"/>
        <v>70.82000000000005</v>
      </c>
      <c r="L210" s="41">
        <f t="shared" si="38"/>
        <v>8765.4500000000007</v>
      </c>
      <c r="M210" s="41">
        <f t="shared" si="39"/>
        <v>0</v>
      </c>
      <c r="N210" s="363">
        <f t="shared" si="36"/>
        <v>0</v>
      </c>
      <c r="O210" s="43" t="s">
        <v>3309</v>
      </c>
      <c r="P210" s="43"/>
      <c r="R210" s="41">
        <f t="shared" si="32"/>
        <v>0</v>
      </c>
      <c r="S210" s="41">
        <f t="shared" si="33"/>
        <v>0</v>
      </c>
      <c r="T210" s="41">
        <f t="shared" si="34"/>
        <v>0</v>
      </c>
      <c r="U210" s="41"/>
      <c r="V210" s="44" t="str">
        <f>IF($P210="High",$S210,IF($P210="Mix",SUMIF('High_Low Voltage Mix Summary'!$B$10:$B$17,$B136,'High_Low Voltage Mix Summary'!$D$10:$D$17),""))</f>
        <v/>
      </c>
      <c r="W210" s="44" t="str">
        <f>IF($P210="Low",$S210,IF($P210="Mix",SUMIF('High_Low Voltage Mix Summary'!$B$10:$B$17,$B136,'High_Low Voltage Mix Summary'!$E$10:$E$17),""))</f>
        <v/>
      </c>
      <c r="X210" s="44" t="str">
        <f>IF($P210="High",$T210,IF($P210="Mix",SUMIF('High_Low Voltage Mix Summary'!$B$10:$B$17,$B136,'High_Low Voltage Mix Summary'!$F$10:$F$17),""))</f>
        <v/>
      </c>
      <c r="Y210" s="44" t="str">
        <f>IF($P210="Low",$T210,IF($P210="Mix",SUMIF('High_Low Voltage Mix Summary'!$B$10:$B$17,$B136,'High_Low Voltage Mix Summary'!$G$10:$G$17),""))</f>
        <v/>
      </c>
      <c r="Z210" s="44" t="str">
        <f>IF(OR($P210="High",$P210="Low"),"",IF($P210="Mix",SUMIF('High_Low Voltage Mix Summary'!$B$10:$B$17,$B136,'High_Low Voltage Mix Summary'!$H$10:$H$17),""))</f>
        <v/>
      </c>
      <c r="AB210" s="49">
        <f>SUMIF('Antelope Bailey Split BA'!$B$7:$B$29,B210,'Antelope Bailey Split BA'!$C$7:$C$29)</f>
        <v>0</v>
      </c>
      <c r="AC210" s="49" t="str">
        <f>IF(AND(AB210=1,'Plant Total by Account'!$H$1=2),"EKWRA","")</f>
        <v/>
      </c>
    </row>
    <row r="211" spans="1:29" x14ac:dyDescent="0.2">
      <c r="A211" s="39" t="s">
        <v>2755</v>
      </c>
      <c r="B211" s="45" t="s">
        <v>308</v>
      </c>
      <c r="C211" s="40" t="s">
        <v>3333</v>
      </c>
      <c r="D211" s="53">
        <v>7977.84</v>
      </c>
      <c r="E211" s="53">
        <v>35897.22</v>
      </c>
      <c r="F211" s="53">
        <v>304684.15000000002</v>
      </c>
      <c r="G211" s="578">
        <f t="shared" si="35"/>
        <v>348559.21</v>
      </c>
      <c r="H211" s="41"/>
      <c r="I211" s="41"/>
      <c r="J211" s="41"/>
      <c r="K211" s="41">
        <f t="shared" si="37"/>
        <v>7977.84</v>
      </c>
      <c r="L211" s="41">
        <f t="shared" si="38"/>
        <v>35897.22</v>
      </c>
      <c r="M211" s="41">
        <f t="shared" si="39"/>
        <v>304684.15000000002</v>
      </c>
      <c r="N211" s="363">
        <f t="shared" si="36"/>
        <v>0</v>
      </c>
      <c r="O211" s="43" t="s">
        <v>3309</v>
      </c>
      <c r="P211" s="43"/>
      <c r="R211" s="41">
        <f t="shared" si="32"/>
        <v>0</v>
      </c>
      <c r="S211" s="41">
        <f t="shared" si="33"/>
        <v>0</v>
      </c>
      <c r="T211" s="41">
        <f t="shared" si="34"/>
        <v>0</v>
      </c>
      <c r="U211" s="41"/>
      <c r="V211" s="44" t="str">
        <f>IF($P211="High",$S211,IF($P211="Mix",SUMIF('High_Low Voltage Mix Summary'!$B$10:$B$17,$B137,'High_Low Voltage Mix Summary'!$D$10:$D$17),""))</f>
        <v/>
      </c>
      <c r="W211" s="44" t="str">
        <f>IF($P211="Low",$S211,IF($P211="Mix",SUMIF('High_Low Voltage Mix Summary'!$B$10:$B$17,$B137,'High_Low Voltage Mix Summary'!$E$10:$E$17),""))</f>
        <v/>
      </c>
      <c r="X211" s="44" t="str">
        <f>IF($P211="High",$T211,IF($P211="Mix",SUMIF('High_Low Voltage Mix Summary'!$B$10:$B$17,$B137,'High_Low Voltage Mix Summary'!$F$10:$F$17),""))</f>
        <v/>
      </c>
      <c r="Y211" s="44" t="str">
        <f>IF($P211="Low",$T211,IF($P211="Mix",SUMIF('High_Low Voltage Mix Summary'!$B$10:$B$17,$B137,'High_Low Voltage Mix Summary'!$G$10:$G$17),""))</f>
        <v/>
      </c>
      <c r="Z211" s="44" t="str">
        <f>IF(OR($P211="High",$P211="Low"),"",IF($P211="Mix",SUMIF('High_Low Voltage Mix Summary'!$B$10:$B$17,$B137,'High_Low Voltage Mix Summary'!$H$10:$H$17),""))</f>
        <v/>
      </c>
      <c r="AB211" s="49">
        <f>SUMIF('Antelope Bailey Split BA'!$B$7:$B$29,B211,'Antelope Bailey Split BA'!$C$7:$C$29)</f>
        <v>0</v>
      </c>
      <c r="AC211" s="49" t="str">
        <f>IF(AND(AB211=1,'Plant Total by Account'!$H$1=2),"EKWRA","")</f>
        <v/>
      </c>
    </row>
    <row r="212" spans="1:29" x14ac:dyDescent="0.2">
      <c r="A212" s="39" t="s">
        <v>2756</v>
      </c>
      <c r="B212" s="45" t="s">
        <v>309</v>
      </c>
      <c r="C212" s="40" t="s">
        <v>3333</v>
      </c>
      <c r="D212" s="53">
        <v>4827.0400000000009</v>
      </c>
      <c r="E212" s="53">
        <v>37371.56</v>
      </c>
      <c r="F212" s="53">
        <v>863412.28999999992</v>
      </c>
      <c r="G212" s="578">
        <f t="shared" si="35"/>
        <v>905610.8899999999</v>
      </c>
      <c r="H212" s="41"/>
      <c r="I212" s="41"/>
      <c r="J212" s="41"/>
      <c r="K212" s="41">
        <f t="shared" si="37"/>
        <v>4827.0400000000009</v>
      </c>
      <c r="L212" s="41">
        <f t="shared" si="38"/>
        <v>37371.56</v>
      </c>
      <c r="M212" s="41">
        <f t="shared" si="39"/>
        <v>863412.28999999992</v>
      </c>
      <c r="N212" s="363">
        <f t="shared" si="36"/>
        <v>0</v>
      </c>
      <c r="O212" s="43" t="s">
        <v>3309</v>
      </c>
      <c r="P212" s="43"/>
      <c r="R212" s="41">
        <f t="shared" si="32"/>
        <v>0</v>
      </c>
      <c r="S212" s="41">
        <f t="shared" si="33"/>
        <v>0</v>
      </c>
      <c r="T212" s="41">
        <f t="shared" si="34"/>
        <v>0</v>
      </c>
      <c r="U212" s="41"/>
      <c r="V212" s="44" t="str">
        <f>IF($P212="High",$S212,IF($P212="Mix",SUMIF('High_Low Voltage Mix Summary'!$B$10:$B$17,$B656,'High_Low Voltage Mix Summary'!$D$10:$D$17),""))</f>
        <v/>
      </c>
      <c r="W212" s="44" t="str">
        <f>IF($P212="Low",$S212,IF($P212="Mix",SUMIF('High_Low Voltage Mix Summary'!$B$10:$B$17,$B656,'High_Low Voltage Mix Summary'!$E$10:$E$17),""))</f>
        <v/>
      </c>
      <c r="X212" s="44" t="str">
        <f>IF($P212="High",$T212,IF($P212="Mix",SUMIF('High_Low Voltage Mix Summary'!$B$10:$B$17,$B656,'High_Low Voltage Mix Summary'!$F$10:$F$17),""))</f>
        <v/>
      </c>
      <c r="Y212" s="44" t="str">
        <f>IF($P212="Low",$T212,IF($P212="Mix",SUMIF('High_Low Voltage Mix Summary'!$B$10:$B$17,$B656,'High_Low Voltage Mix Summary'!$G$10:$G$17),""))</f>
        <v/>
      </c>
      <c r="Z212" s="44" t="str">
        <f>IF(OR($P212="High",$P212="Low"),"",IF($P212="Mix",SUMIF('High_Low Voltage Mix Summary'!$B$10:$B$17,$B656,'High_Low Voltage Mix Summary'!$H$10:$H$17),""))</f>
        <v/>
      </c>
      <c r="AB212" s="49">
        <f>SUMIF('Antelope Bailey Split BA'!$B$7:$B$29,B212,'Antelope Bailey Split BA'!$C$7:$C$29)</f>
        <v>0</v>
      </c>
      <c r="AC212" s="49" t="str">
        <f>IF(AND(AB212=1,'Plant Total by Account'!$H$1=2),"EKWRA","")</f>
        <v/>
      </c>
    </row>
    <row r="213" spans="1:29" x14ac:dyDescent="0.2">
      <c r="A213" s="39" t="s">
        <v>2757</v>
      </c>
      <c r="B213" s="45" t="s">
        <v>310</v>
      </c>
      <c r="C213" s="40" t="s">
        <v>3334</v>
      </c>
      <c r="D213" s="53">
        <v>0</v>
      </c>
      <c r="E213" s="53">
        <v>12216.630000000001</v>
      </c>
      <c r="F213" s="53">
        <v>906076.5900000002</v>
      </c>
      <c r="G213" s="578">
        <f t="shared" si="35"/>
        <v>918293.2200000002</v>
      </c>
      <c r="H213" s="41"/>
      <c r="I213" s="41"/>
      <c r="J213" s="41"/>
      <c r="K213" s="41">
        <f t="shared" si="37"/>
        <v>0</v>
      </c>
      <c r="L213" s="41">
        <f t="shared" si="38"/>
        <v>12216.630000000001</v>
      </c>
      <c r="M213" s="41">
        <f t="shared" si="39"/>
        <v>906076.5900000002</v>
      </c>
      <c r="N213" s="363">
        <f t="shared" si="36"/>
        <v>0</v>
      </c>
      <c r="O213" s="43" t="s">
        <v>3309</v>
      </c>
      <c r="P213" s="43"/>
      <c r="R213" s="41">
        <f t="shared" si="32"/>
        <v>0</v>
      </c>
      <c r="S213" s="41">
        <f t="shared" si="33"/>
        <v>0</v>
      </c>
      <c r="T213" s="41">
        <f t="shared" si="34"/>
        <v>0</v>
      </c>
      <c r="U213" s="41"/>
      <c r="V213" s="44" t="str">
        <f>IF($P213="High",$S213,IF($P213="Mix",SUMIF('High_Low Voltage Mix Summary'!$B$10:$B$17,$B657,'High_Low Voltage Mix Summary'!$D$10:$D$17),""))</f>
        <v/>
      </c>
      <c r="W213" s="44" t="str">
        <f>IF($P213="Low",$S213,IF($P213="Mix",SUMIF('High_Low Voltage Mix Summary'!$B$10:$B$17,$B657,'High_Low Voltage Mix Summary'!$E$10:$E$17),""))</f>
        <v/>
      </c>
      <c r="X213" s="44" t="str">
        <f>IF($P213="High",$T213,IF($P213="Mix",SUMIF('High_Low Voltage Mix Summary'!$B$10:$B$17,$B657,'High_Low Voltage Mix Summary'!$F$10:$F$17),""))</f>
        <v/>
      </c>
      <c r="Y213" s="44" t="str">
        <f>IF($P213="Low",$T213,IF($P213="Mix",SUMIF('High_Low Voltage Mix Summary'!$B$10:$B$17,$B657,'High_Low Voltage Mix Summary'!$G$10:$G$17),""))</f>
        <v/>
      </c>
      <c r="Z213" s="44" t="str">
        <f>IF(OR($P213="High",$P213="Low"),"",IF($P213="Mix",SUMIF('High_Low Voltage Mix Summary'!$B$10:$B$17,$B657,'High_Low Voltage Mix Summary'!$H$10:$H$17),""))</f>
        <v/>
      </c>
      <c r="AB213" s="49">
        <f>SUMIF('Antelope Bailey Split BA'!$B$7:$B$29,B213,'Antelope Bailey Split BA'!$C$7:$C$29)</f>
        <v>0</v>
      </c>
      <c r="AC213" s="49" t="str">
        <f>IF(AND(AB213=1,'Plant Total by Account'!$H$1=2),"EKWRA","")</f>
        <v/>
      </c>
    </row>
    <row r="214" spans="1:29" x14ac:dyDescent="0.2">
      <c r="A214" s="39" t="s">
        <v>2758</v>
      </c>
      <c r="B214" s="45" t="s">
        <v>311</v>
      </c>
      <c r="C214" s="40" t="s">
        <v>3334</v>
      </c>
      <c r="D214" s="53">
        <v>23157.360000000001</v>
      </c>
      <c r="E214" s="53">
        <v>27836.71</v>
      </c>
      <c r="F214" s="53">
        <v>568284.81999999995</v>
      </c>
      <c r="G214" s="578">
        <f t="shared" si="35"/>
        <v>619278.8899999999</v>
      </c>
      <c r="H214" s="41"/>
      <c r="I214" s="41"/>
      <c r="J214" s="41"/>
      <c r="K214" s="41">
        <f t="shared" si="37"/>
        <v>23157.360000000001</v>
      </c>
      <c r="L214" s="41">
        <f t="shared" si="38"/>
        <v>27836.71</v>
      </c>
      <c r="M214" s="41">
        <f t="shared" si="39"/>
        <v>568284.81999999995</v>
      </c>
      <c r="N214" s="363">
        <f t="shared" si="36"/>
        <v>0</v>
      </c>
      <c r="O214" s="43" t="s">
        <v>3309</v>
      </c>
      <c r="P214" s="43"/>
      <c r="R214" s="41">
        <f t="shared" si="32"/>
        <v>0</v>
      </c>
      <c r="S214" s="41">
        <f t="shared" si="33"/>
        <v>0</v>
      </c>
      <c r="T214" s="41">
        <f t="shared" si="34"/>
        <v>0</v>
      </c>
      <c r="U214" s="41"/>
      <c r="V214" s="44" t="str">
        <f>IF($P214="High",$S214,IF($P214="Mix",SUMIF('High_Low Voltage Mix Summary'!$B$10:$B$17,$B138,'High_Low Voltage Mix Summary'!$D$10:$D$17),""))</f>
        <v/>
      </c>
      <c r="W214" s="44" t="str">
        <f>IF($P214="Low",$S214,IF($P214="Mix",SUMIF('High_Low Voltage Mix Summary'!$B$10:$B$17,$B138,'High_Low Voltage Mix Summary'!$E$10:$E$17),""))</f>
        <v/>
      </c>
      <c r="X214" s="44" t="str">
        <f>IF($P214="High",$T214,IF($P214="Mix",SUMIF('High_Low Voltage Mix Summary'!$B$10:$B$17,$B138,'High_Low Voltage Mix Summary'!$F$10:$F$17),""))</f>
        <v/>
      </c>
      <c r="Y214" s="44" t="str">
        <f>IF($P214="Low",$T214,IF($P214="Mix",SUMIF('High_Low Voltage Mix Summary'!$B$10:$B$17,$B138,'High_Low Voltage Mix Summary'!$G$10:$G$17),""))</f>
        <v/>
      </c>
      <c r="Z214" s="44" t="str">
        <f>IF(OR($P214="High",$P214="Low"),"",IF($P214="Mix",SUMIF('High_Low Voltage Mix Summary'!$B$10:$B$17,$B138,'High_Low Voltage Mix Summary'!$H$10:$H$17),""))</f>
        <v/>
      </c>
      <c r="AB214" s="49">
        <f>SUMIF('Antelope Bailey Split BA'!$B$7:$B$29,B214,'Antelope Bailey Split BA'!$C$7:$C$29)</f>
        <v>0</v>
      </c>
      <c r="AC214" s="49" t="str">
        <f>IF(AND(AB214=1,'Plant Total by Account'!$H$1=2),"EKWRA","")</f>
        <v/>
      </c>
    </row>
    <row r="215" spans="1:29" x14ac:dyDescent="0.2">
      <c r="A215" s="39" t="s">
        <v>2759</v>
      </c>
      <c r="B215" s="45" t="s">
        <v>312</v>
      </c>
      <c r="C215" s="40" t="s">
        <v>3334</v>
      </c>
      <c r="D215" s="53">
        <v>830.53</v>
      </c>
      <c r="E215" s="53">
        <v>8054.3</v>
      </c>
      <c r="F215" s="53">
        <v>44837.23</v>
      </c>
      <c r="G215" s="578">
        <f t="shared" si="35"/>
        <v>53722.060000000005</v>
      </c>
      <c r="H215" s="41"/>
      <c r="I215" s="41"/>
      <c r="J215" s="41"/>
      <c r="K215" s="41">
        <f t="shared" si="37"/>
        <v>830.53</v>
      </c>
      <c r="L215" s="41">
        <f t="shared" si="38"/>
        <v>8054.3</v>
      </c>
      <c r="M215" s="41">
        <f t="shared" si="39"/>
        <v>44837.23</v>
      </c>
      <c r="N215" s="363">
        <f t="shared" si="36"/>
        <v>0</v>
      </c>
      <c r="O215" s="43" t="s">
        <v>3309</v>
      </c>
      <c r="P215" s="43"/>
      <c r="R215" s="41">
        <f t="shared" si="32"/>
        <v>0</v>
      </c>
      <c r="S215" s="41">
        <f t="shared" si="33"/>
        <v>0</v>
      </c>
      <c r="T215" s="41">
        <f t="shared" si="34"/>
        <v>0</v>
      </c>
      <c r="U215" s="41"/>
      <c r="V215" s="44" t="str">
        <f>IF($P215="High",$S215,IF($P215="Mix",SUMIF('High_Low Voltage Mix Summary'!$B$10:$B$17,$B139,'High_Low Voltage Mix Summary'!$D$10:$D$17),""))</f>
        <v/>
      </c>
      <c r="W215" s="44" t="str">
        <f>IF($P215="Low",$S215,IF($P215="Mix",SUMIF('High_Low Voltage Mix Summary'!$B$10:$B$17,$B139,'High_Low Voltage Mix Summary'!$E$10:$E$17),""))</f>
        <v/>
      </c>
      <c r="X215" s="44" t="str">
        <f>IF($P215="High",$T215,IF($P215="Mix",SUMIF('High_Low Voltage Mix Summary'!$B$10:$B$17,$B139,'High_Low Voltage Mix Summary'!$F$10:$F$17),""))</f>
        <v/>
      </c>
      <c r="Y215" s="44" t="str">
        <f>IF($P215="Low",$T215,IF($P215="Mix",SUMIF('High_Low Voltage Mix Summary'!$B$10:$B$17,$B139,'High_Low Voltage Mix Summary'!$G$10:$G$17),""))</f>
        <v/>
      </c>
      <c r="Z215" s="44" t="str">
        <f>IF(OR($P215="High",$P215="Low"),"",IF($P215="Mix",SUMIF('High_Low Voltage Mix Summary'!$B$10:$B$17,$B139,'High_Low Voltage Mix Summary'!$H$10:$H$17),""))</f>
        <v/>
      </c>
      <c r="AB215" s="49">
        <f>SUMIF('Antelope Bailey Split BA'!$B$7:$B$29,B215,'Antelope Bailey Split BA'!$C$7:$C$29)</f>
        <v>0</v>
      </c>
      <c r="AC215" s="49" t="str">
        <f>IF(AND(AB215=1,'Plant Total by Account'!$H$1=2),"EKWRA","")</f>
        <v/>
      </c>
    </row>
    <row r="216" spans="1:29" x14ac:dyDescent="0.2">
      <c r="A216" s="39" t="s">
        <v>2760</v>
      </c>
      <c r="B216" s="45" t="s">
        <v>313</v>
      </c>
      <c r="C216" s="40" t="s">
        <v>3333</v>
      </c>
      <c r="D216" s="53">
        <v>15342.4</v>
      </c>
      <c r="E216" s="53">
        <v>59570.68</v>
      </c>
      <c r="F216" s="53">
        <v>898560.06000000064</v>
      </c>
      <c r="G216" s="578">
        <f t="shared" si="35"/>
        <v>973473.1400000006</v>
      </c>
      <c r="H216" s="41"/>
      <c r="I216" s="41"/>
      <c r="J216" s="41"/>
      <c r="K216" s="41">
        <f t="shared" si="37"/>
        <v>15342.4</v>
      </c>
      <c r="L216" s="41">
        <f t="shared" si="38"/>
        <v>59570.68</v>
      </c>
      <c r="M216" s="41">
        <f t="shared" si="39"/>
        <v>898560.06000000064</v>
      </c>
      <c r="N216" s="363">
        <f t="shared" si="36"/>
        <v>0</v>
      </c>
      <c r="O216" s="43" t="s">
        <v>3309</v>
      </c>
      <c r="P216" s="43"/>
      <c r="R216" s="41">
        <f t="shared" si="32"/>
        <v>0</v>
      </c>
      <c r="S216" s="41">
        <f t="shared" si="33"/>
        <v>0</v>
      </c>
      <c r="T216" s="41">
        <f t="shared" si="34"/>
        <v>0</v>
      </c>
      <c r="U216" s="41"/>
      <c r="V216" s="44" t="str">
        <f>IF($P216="High",$S216,IF($P216="Mix",SUMIF('High_Low Voltage Mix Summary'!$B$10:$B$17,$B140,'High_Low Voltage Mix Summary'!$D$10:$D$17),""))</f>
        <v/>
      </c>
      <c r="W216" s="44" t="str">
        <f>IF($P216="Low",$S216,IF($P216="Mix",SUMIF('High_Low Voltage Mix Summary'!$B$10:$B$17,$B140,'High_Low Voltage Mix Summary'!$E$10:$E$17),""))</f>
        <v/>
      </c>
      <c r="X216" s="44" t="str">
        <f>IF($P216="High",$T216,IF($P216="Mix",SUMIF('High_Low Voltage Mix Summary'!$B$10:$B$17,$B140,'High_Low Voltage Mix Summary'!$F$10:$F$17),""))</f>
        <v/>
      </c>
      <c r="Y216" s="44" t="str">
        <f>IF($P216="Low",$T216,IF($P216="Mix",SUMIF('High_Low Voltage Mix Summary'!$B$10:$B$17,$B140,'High_Low Voltage Mix Summary'!$G$10:$G$17),""))</f>
        <v/>
      </c>
      <c r="Z216" s="44" t="str">
        <f>IF(OR($P216="High",$P216="Low"),"",IF($P216="Mix",SUMIF('High_Low Voltage Mix Summary'!$B$10:$B$17,$B140,'High_Low Voltage Mix Summary'!$H$10:$H$17),""))</f>
        <v/>
      </c>
      <c r="AB216" s="49">
        <f>SUMIF('Antelope Bailey Split BA'!$B$7:$B$29,B216,'Antelope Bailey Split BA'!$C$7:$C$29)</f>
        <v>0</v>
      </c>
      <c r="AC216" s="49" t="str">
        <f>IF(AND(AB216=1,'Plant Total by Account'!$H$1=2),"EKWRA","")</f>
        <v/>
      </c>
    </row>
    <row r="217" spans="1:29" x14ac:dyDescent="0.2">
      <c r="A217" s="39" t="s">
        <v>2761</v>
      </c>
      <c r="B217" s="45" t="s">
        <v>314</v>
      </c>
      <c r="C217" s="40" t="s">
        <v>3334</v>
      </c>
      <c r="D217" s="53">
        <v>0</v>
      </c>
      <c r="E217" s="53">
        <v>35948.76</v>
      </c>
      <c r="F217" s="53">
        <v>932643.04999999981</v>
      </c>
      <c r="G217" s="578">
        <f t="shared" si="35"/>
        <v>968591.80999999982</v>
      </c>
      <c r="H217" s="41"/>
      <c r="I217" s="41"/>
      <c r="J217" s="41"/>
      <c r="K217" s="41">
        <f t="shared" si="37"/>
        <v>0</v>
      </c>
      <c r="L217" s="41">
        <f t="shared" si="38"/>
        <v>35948.76</v>
      </c>
      <c r="M217" s="41">
        <f t="shared" si="39"/>
        <v>932643.04999999981</v>
      </c>
      <c r="N217" s="363">
        <f t="shared" si="36"/>
        <v>0</v>
      </c>
      <c r="O217" s="43" t="s">
        <v>3309</v>
      </c>
      <c r="P217" s="43"/>
      <c r="R217" s="41">
        <f t="shared" si="32"/>
        <v>0</v>
      </c>
      <c r="S217" s="41">
        <f t="shared" si="33"/>
        <v>0</v>
      </c>
      <c r="T217" s="41">
        <f t="shared" si="34"/>
        <v>0</v>
      </c>
      <c r="U217" s="41"/>
      <c r="V217" s="44" t="str">
        <f>IF($P217="High",$S217,IF($P217="Mix",SUMIF('High_Low Voltage Mix Summary'!$B$10:$B$17,$B658,'High_Low Voltage Mix Summary'!$D$10:$D$17),""))</f>
        <v/>
      </c>
      <c r="W217" s="44" t="str">
        <f>IF($P217="Low",$S217,IF($P217="Mix",SUMIF('High_Low Voltage Mix Summary'!$B$10:$B$17,$B658,'High_Low Voltage Mix Summary'!$E$10:$E$17),""))</f>
        <v/>
      </c>
      <c r="X217" s="44" t="str">
        <f>IF($P217="High",$T217,IF($P217="Mix",SUMIF('High_Low Voltage Mix Summary'!$B$10:$B$17,$B658,'High_Low Voltage Mix Summary'!$F$10:$F$17),""))</f>
        <v/>
      </c>
      <c r="Y217" s="44" t="str">
        <f>IF($P217="Low",$T217,IF($P217="Mix",SUMIF('High_Low Voltage Mix Summary'!$B$10:$B$17,$B658,'High_Low Voltage Mix Summary'!$G$10:$G$17),""))</f>
        <v/>
      </c>
      <c r="Z217" s="44" t="str">
        <f>IF(OR($P217="High",$P217="Low"),"",IF($P217="Mix",SUMIF('High_Low Voltage Mix Summary'!$B$10:$B$17,$B658,'High_Low Voltage Mix Summary'!$H$10:$H$17),""))</f>
        <v/>
      </c>
      <c r="AB217" s="49">
        <f>SUMIF('Antelope Bailey Split BA'!$B$7:$B$29,B217,'Antelope Bailey Split BA'!$C$7:$C$29)</f>
        <v>0</v>
      </c>
      <c r="AC217" s="49" t="str">
        <f>IF(AND(AB217=1,'Plant Total by Account'!$H$1=2),"EKWRA","")</f>
        <v/>
      </c>
    </row>
    <row r="218" spans="1:29" x14ac:dyDescent="0.2">
      <c r="A218" s="39" t="s">
        <v>2762</v>
      </c>
      <c r="B218" s="45" t="s">
        <v>315</v>
      </c>
      <c r="C218" s="40" t="s">
        <v>3334</v>
      </c>
      <c r="D218" s="53">
        <v>0</v>
      </c>
      <c r="E218" s="53">
        <v>7488.34</v>
      </c>
      <c r="F218" s="53">
        <v>1081851.93</v>
      </c>
      <c r="G218" s="578">
        <f t="shared" si="35"/>
        <v>1089340.27</v>
      </c>
      <c r="H218" s="41"/>
      <c r="I218" s="41"/>
      <c r="J218" s="41"/>
      <c r="K218" s="41">
        <f t="shared" si="37"/>
        <v>0</v>
      </c>
      <c r="L218" s="41">
        <f t="shared" si="38"/>
        <v>7488.34</v>
      </c>
      <c r="M218" s="41">
        <f t="shared" si="39"/>
        <v>1081851.93</v>
      </c>
      <c r="N218" s="363">
        <f t="shared" si="36"/>
        <v>0</v>
      </c>
      <c r="O218" s="43" t="s">
        <v>3309</v>
      </c>
      <c r="P218" s="43"/>
      <c r="R218" s="41">
        <f t="shared" si="32"/>
        <v>0</v>
      </c>
      <c r="S218" s="41">
        <f t="shared" si="33"/>
        <v>0</v>
      </c>
      <c r="T218" s="41">
        <f t="shared" si="34"/>
        <v>0</v>
      </c>
      <c r="U218" s="41"/>
      <c r="V218" s="44" t="str">
        <f>IF($P218="High",$S218,IF($P218="Mix",SUMIF('High_Low Voltage Mix Summary'!$B$10:$B$17,$B141,'High_Low Voltage Mix Summary'!$D$10:$D$17),""))</f>
        <v/>
      </c>
      <c r="W218" s="44" t="str">
        <f>IF($P218="Low",$S218,IF($P218="Mix",SUMIF('High_Low Voltage Mix Summary'!$B$10:$B$17,$B141,'High_Low Voltage Mix Summary'!$E$10:$E$17),""))</f>
        <v/>
      </c>
      <c r="X218" s="44" t="str">
        <f>IF($P218="High",$T218,IF($P218="Mix",SUMIF('High_Low Voltage Mix Summary'!$B$10:$B$17,$B141,'High_Low Voltage Mix Summary'!$F$10:$F$17),""))</f>
        <v/>
      </c>
      <c r="Y218" s="44" t="str">
        <f>IF($P218="Low",$T218,IF($P218="Mix",SUMIF('High_Low Voltage Mix Summary'!$B$10:$B$17,$B141,'High_Low Voltage Mix Summary'!$G$10:$G$17),""))</f>
        <v/>
      </c>
      <c r="Z218" s="44" t="str">
        <f>IF(OR($P218="High",$P218="Low"),"",IF($P218="Mix",SUMIF('High_Low Voltage Mix Summary'!$B$10:$B$17,$B141,'High_Low Voltage Mix Summary'!$H$10:$H$17),""))</f>
        <v/>
      </c>
      <c r="AB218" s="49">
        <f>SUMIF('Antelope Bailey Split BA'!$B$7:$B$29,B218,'Antelope Bailey Split BA'!$C$7:$C$29)</f>
        <v>0</v>
      </c>
      <c r="AC218" s="49" t="str">
        <f>IF(AND(AB218=1,'Plant Total by Account'!$H$1=2),"EKWRA","")</f>
        <v/>
      </c>
    </row>
    <row r="219" spans="1:29" x14ac:dyDescent="0.2">
      <c r="A219" s="39" t="s">
        <v>2763</v>
      </c>
      <c r="B219" s="45" t="s">
        <v>316</v>
      </c>
      <c r="C219" s="40" t="s">
        <v>3334</v>
      </c>
      <c r="D219" s="53">
        <v>0</v>
      </c>
      <c r="E219" s="53">
        <v>20329.46</v>
      </c>
      <c r="F219" s="53">
        <v>393617.48000000004</v>
      </c>
      <c r="G219" s="578">
        <f t="shared" si="35"/>
        <v>413946.94000000006</v>
      </c>
      <c r="H219" s="41"/>
      <c r="I219" s="41"/>
      <c r="J219" s="41"/>
      <c r="K219" s="41">
        <f t="shared" si="37"/>
        <v>0</v>
      </c>
      <c r="L219" s="41">
        <f t="shared" si="38"/>
        <v>20329.46</v>
      </c>
      <c r="M219" s="41">
        <f t="shared" si="39"/>
        <v>393617.48000000004</v>
      </c>
      <c r="N219" s="363">
        <f t="shared" si="36"/>
        <v>0</v>
      </c>
      <c r="O219" s="43" t="s">
        <v>3309</v>
      </c>
      <c r="P219" s="43"/>
      <c r="R219" s="41">
        <f t="shared" si="32"/>
        <v>0</v>
      </c>
      <c r="S219" s="41">
        <f t="shared" si="33"/>
        <v>0</v>
      </c>
      <c r="T219" s="41">
        <f t="shared" si="34"/>
        <v>0</v>
      </c>
      <c r="U219" s="41"/>
      <c r="V219" s="44" t="str">
        <f>IF($P219="High",$S219,IF($P219="Mix",SUMIF('High_Low Voltage Mix Summary'!$B$10:$B$17,$B142,'High_Low Voltage Mix Summary'!$D$10:$D$17),""))</f>
        <v/>
      </c>
      <c r="W219" s="44" t="str">
        <f>IF($P219="Low",$S219,IF($P219="Mix",SUMIF('High_Low Voltage Mix Summary'!$B$10:$B$17,$B142,'High_Low Voltage Mix Summary'!$E$10:$E$17),""))</f>
        <v/>
      </c>
      <c r="X219" s="44" t="str">
        <f>IF($P219="High",$T219,IF($P219="Mix",SUMIF('High_Low Voltage Mix Summary'!$B$10:$B$17,$B142,'High_Low Voltage Mix Summary'!$F$10:$F$17),""))</f>
        <v/>
      </c>
      <c r="Y219" s="44" t="str">
        <f>IF($P219="Low",$T219,IF($P219="Mix",SUMIF('High_Low Voltage Mix Summary'!$B$10:$B$17,$B142,'High_Low Voltage Mix Summary'!$G$10:$G$17),""))</f>
        <v/>
      </c>
      <c r="Z219" s="44" t="str">
        <f>IF(OR($P219="High",$P219="Low"),"",IF($P219="Mix",SUMIF('High_Low Voltage Mix Summary'!$B$10:$B$17,$B142,'High_Low Voltage Mix Summary'!$H$10:$H$17),""))</f>
        <v/>
      </c>
      <c r="AB219" s="49">
        <f>SUMIF('Antelope Bailey Split BA'!$B$7:$B$29,B219,'Antelope Bailey Split BA'!$C$7:$C$29)</f>
        <v>0</v>
      </c>
      <c r="AC219" s="49" t="str">
        <f>IF(AND(AB219=1,'Plant Total by Account'!$H$1=2),"EKWRA","")</f>
        <v/>
      </c>
    </row>
    <row r="220" spans="1:29" x14ac:dyDescent="0.2">
      <c r="A220" s="39" t="s">
        <v>2764</v>
      </c>
      <c r="B220" s="40" t="s">
        <v>317</v>
      </c>
      <c r="C220" s="40" t="s">
        <v>3334</v>
      </c>
      <c r="D220" s="53">
        <v>712.25</v>
      </c>
      <c r="E220" s="53">
        <v>0</v>
      </c>
      <c r="F220" s="53">
        <v>0</v>
      </c>
      <c r="G220" s="578">
        <f t="shared" si="35"/>
        <v>712.25</v>
      </c>
      <c r="H220" s="41"/>
      <c r="I220" s="41"/>
      <c r="J220" s="41"/>
      <c r="K220" s="41">
        <f t="shared" si="37"/>
        <v>712.25</v>
      </c>
      <c r="L220" s="41">
        <f t="shared" si="38"/>
        <v>0</v>
      </c>
      <c r="M220" s="41">
        <f t="shared" si="39"/>
        <v>0</v>
      </c>
      <c r="N220" s="363">
        <f t="shared" si="36"/>
        <v>0</v>
      </c>
      <c r="O220" s="43" t="s">
        <v>3309</v>
      </c>
      <c r="P220" s="43"/>
      <c r="R220" s="41">
        <f t="shared" si="32"/>
        <v>0</v>
      </c>
      <c r="S220" s="41">
        <f t="shared" si="33"/>
        <v>0</v>
      </c>
      <c r="T220" s="41">
        <f t="shared" si="34"/>
        <v>0</v>
      </c>
      <c r="U220" s="41"/>
      <c r="V220" s="44" t="str">
        <f>IF($P220="High",$S220,IF($P220="Mix",SUMIF('High_Low Voltage Mix Summary'!$B$10:$B$17,$B143,'High_Low Voltage Mix Summary'!$D$10:$D$17),""))</f>
        <v/>
      </c>
      <c r="W220" s="44" t="str">
        <f>IF($P220="Low",$S220,IF($P220="Mix",SUMIF('High_Low Voltage Mix Summary'!$B$10:$B$17,$B143,'High_Low Voltage Mix Summary'!$E$10:$E$17),""))</f>
        <v/>
      </c>
      <c r="X220" s="44" t="str">
        <f>IF($P220="High",$T220,IF($P220="Mix",SUMIF('High_Low Voltage Mix Summary'!$B$10:$B$17,$B143,'High_Low Voltage Mix Summary'!$F$10:$F$17),""))</f>
        <v/>
      </c>
      <c r="Y220" s="44" t="str">
        <f>IF($P220="Low",$T220,IF($P220="Mix",SUMIF('High_Low Voltage Mix Summary'!$B$10:$B$17,$B143,'High_Low Voltage Mix Summary'!$G$10:$G$17),""))</f>
        <v/>
      </c>
      <c r="Z220" s="44" t="str">
        <f>IF(OR($P220="High",$P220="Low"),"",IF($P220="Mix",SUMIF('High_Low Voltage Mix Summary'!$B$10:$B$17,$B143,'High_Low Voltage Mix Summary'!$H$10:$H$17),""))</f>
        <v/>
      </c>
      <c r="AB220" s="49">
        <f>SUMIF('Antelope Bailey Split BA'!$B$7:$B$29,B220,'Antelope Bailey Split BA'!$C$7:$C$29)</f>
        <v>0</v>
      </c>
      <c r="AC220" s="49" t="str">
        <f>IF(AND(AB220=1,'Plant Total by Account'!$H$1=2),"EKWRA","")</f>
        <v/>
      </c>
    </row>
    <row r="221" spans="1:29" x14ac:dyDescent="0.2">
      <c r="A221" s="39" t="s">
        <v>2765</v>
      </c>
      <c r="B221" s="45" t="s">
        <v>318</v>
      </c>
      <c r="C221" s="40" t="s">
        <v>3334</v>
      </c>
      <c r="D221" s="53">
        <v>85247.91</v>
      </c>
      <c r="E221" s="53">
        <v>165473.96000000002</v>
      </c>
      <c r="F221" s="53">
        <v>3071210.4699999974</v>
      </c>
      <c r="G221" s="578">
        <f t="shared" si="35"/>
        <v>3321932.3399999975</v>
      </c>
      <c r="H221" s="41"/>
      <c r="I221" s="41"/>
      <c r="J221" s="41"/>
      <c r="K221" s="41">
        <f t="shared" si="37"/>
        <v>85247.91</v>
      </c>
      <c r="L221" s="41">
        <f t="shared" si="38"/>
        <v>165473.96000000002</v>
      </c>
      <c r="M221" s="41">
        <f t="shared" si="39"/>
        <v>3071210.4699999974</v>
      </c>
      <c r="N221" s="363">
        <f t="shared" si="36"/>
        <v>0</v>
      </c>
      <c r="O221" s="43" t="s">
        <v>3309</v>
      </c>
      <c r="P221" s="43"/>
      <c r="R221" s="41">
        <f t="shared" si="32"/>
        <v>0</v>
      </c>
      <c r="S221" s="41">
        <f t="shared" si="33"/>
        <v>0</v>
      </c>
      <c r="T221" s="41">
        <f t="shared" si="34"/>
        <v>0</v>
      </c>
      <c r="U221" s="41"/>
      <c r="V221" s="44" t="str">
        <f>IF($P221="High",$S221,IF($P221="Mix",SUMIF('High_Low Voltage Mix Summary'!$B$10:$B$17,$B146,'High_Low Voltage Mix Summary'!$D$10:$D$17),""))</f>
        <v/>
      </c>
      <c r="W221" s="44" t="str">
        <f>IF($P221="Low",$S221,IF($P221="Mix",SUMIF('High_Low Voltage Mix Summary'!$B$10:$B$17,$B146,'High_Low Voltage Mix Summary'!$E$10:$E$17),""))</f>
        <v/>
      </c>
      <c r="X221" s="44" t="str">
        <f>IF($P221="High",$T221,IF($P221="Mix",SUMIF('High_Low Voltage Mix Summary'!$B$10:$B$17,$B146,'High_Low Voltage Mix Summary'!$F$10:$F$17),""))</f>
        <v/>
      </c>
      <c r="Y221" s="44" t="str">
        <f>IF($P221="Low",$T221,IF($P221="Mix",SUMIF('High_Low Voltage Mix Summary'!$B$10:$B$17,$B146,'High_Low Voltage Mix Summary'!$G$10:$G$17),""))</f>
        <v/>
      </c>
      <c r="Z221" s="44" t="str">
        <f>IF(OR($P221="High",$P221="Low"),"",IF($P221="Mix",SUMIF('High_Low Voltage Mix Summary'!$B$10:$B$17,$B146,'High_Low Voltage Mix Summary'!$H$10:$H$17),""))</f>
        <v/>
      </c>
      <c r="AB221" s="49">
        <f>SUMIF('Antelope Bailey Split BA'!$B$7:$B$29,B221,'Antelope Bailey Split BA'!$C$7:$C$29)</f>
        <v>0</v>
      </c>
      <c r="AC221" s="49" t="str">
        <f>IF(AND(AB221=1,'Plant Total by Account'!$H$1=2),"EKWRA","")</f>
        <v/>
      </c>
    </row>
    <row r="222" spans="1:29" x14ac:dyDescent="0.2">
      <c r="A222" s="39" t="s">
        <v>2766</v>
      </c>
      <c r="B222" s="45" t="s">
        <v>319</v>
      </c>
      <c r="C222" s="40" t="s">
        <v>3334</v>
      </c>
      <c r="D222" s="53">
        <v>0</v>
      </c>
      <c r="E222" s="53">
        <v>12888.17</v>
      </c>
      <c r="F222" s="53">
        <v>551432.17000000004</v>
      </c>
      <c r="G222" s="578">
        <f t="shared" si="35"/>
        <v>564320.34000000008</v>
      </c>
      <c r="H222" s="41"/>
      <c r="I222" s="41"/>
      <c r="J222" s="41"/>
      <c r="K222" s="41">
        <f t="shared" si="37"/>
        <v>0</v>
      </c>
      <c r="L222" s="41">
        <f t="shared" si="38"/>
        <v>12888.17</v>
      </c>
      <c r="M222" s="41">
        <f t="shared" si="39"/>
        <v>551432.17000000004</v>
      </c>
      <c r="N222" s="363">
        <f t="shared" si="36"/>
        <v>0</v>
      </c>
      <c r="O222" s="43" t="s">
        <v>3309</v>
      </c>
      <c r="P222" s="43"/>
      <c r="R222" s="41">
        <f t="shared" si="32"/>
        <v>0</v>
      </c>
      <c r="S222" s="41">
        <f t="shared" si="33"/>
        <v>0</v>
      </c>
      <c r="T222" s="41">
        <f t="shared" si="34"/>
        <v>0</v>
      </c>
      <c r="U222" s="41"/>
      <c r="V222" s="44" t="str">
        <f>IF($P222="High",$S222,IF($P222="Mix",SUMIF('High_Low Voltage Mix Summary'!$B$10:$B$17,$B147,'High_Low Voltage Mix Summary'!$D$10:$D$17),""))</f>
        <v/>
      </c>
      <c r="W222" s="44" t="str">
        <f>IF($P222="Low",$S222,IF($P222="Mix",SUMIF('High_Low Voltage Mix Summary'!$B$10:$B$17,$B147,'High_Low Voltage Mix Summary'!$E$10:$E$17),""))</f>
        <v/>
      </c>
      <c r="X222" s="44" t="str">
        <f>IF($P222="High",$T222,IF($P222="Mix",SUMIF('High_Low Voltage Mix Summary'!$B$10:$B$17,$B147,'High_Low Voltage Mix Summary'!$F$10:$F$17),""))</f>
        <v/>
      </c>
      <c r="Y222" s="44" t="str">
        <f>IF($P222="Low",$T222,IF($P222="Mix",SUMIF('High_Low Voltage Mix Summary'!$B$10:$B$17,$B147,'High_Low Voltage Mix Summary'!$G$10:$G$17),""))</f>
        <v/>
      </c>
      <c r="Z222" s="44" t="str">
        <f>IF(OR($P222="High",$P222="Low"),"",IF($P222="Mix",SUMIF('High_Low Voltage Mix Summary'!$B$10:$B$17,$B147,'High_Low Voltage Mix Summary'!$H$10:$H$17),""))</f>
        <v/>
      </c>
      <c r="AB222" s="49">
        <f>SUMIF('Antelope Bailey Split BA'!$B$7:$B$29,B222,'Antelope Bailey Split BA'!$C$7:$C$29)</f>
        <v>0</v>
      </c>
      <c r="AC222" s="49" t="str">
        <f>IF(AND(AB222=1,'Plant Total by Account'!$H$1=2),"EKWRA","")</f>
        <v/>
      </c>
    </row>
    <row r="223" spans="1:29" x14ac:dyDescent="0.2">
      <c r="A223" s="39" t="s">
        <v>2767</v>
      </c>
      <c r="B223" s="45" t="s">
        <v>320</v>
      </c>
      <c r="C223" s="40" t="s">
        <v>3333</v>
      </c>
      <c r="D223" s="53">
        <v>17786.36</v>
      </c>
      <c r="E223" s="53">
        <v>45139.649999999994</v>
      </c>
      <c r="F223" s="53">
        <v>473465.31999999995</v>
      </c>
      <c r="G223" s="578">
        <f t="shared" si="35"/>
        <v>536391.32999999996</v>
      </c>
      <c r="H223" s="41"/>
      <c r="I223" s="41"/>
      <c r="J223" s="41"/>
      <c r="K223" s="41">
        <f t="shared" si="37"/>
        <v>17786.36</v>
      </c>
      <c r="L223" s="41">
        <f t="shared" si="38"/>
        <v>45139.649999999994</v>
      </c>
      <c r="M223" s="41">
        <f t="shared" si="39"/>
        <v>473465.31999999995</v>
      </c>
      <c r="N223" s="363">
        <f t="shared" si="36"/>
        <v>0</v>
      </c>
      <c r="O223" s="43" t="s">
        <v>3309</v>
      </c>
      <c r="P223" s="43"/>
      <c r="R223" s="41">
        <f t="shared" si="32"/>
        <v>0</v>
      </c>
      <c r="S223" s="41">
        <f t="shared" si="33"/>
        <v>0</v>
      </c>
      <c r="T223" s="41">
        <f t="shared" si="34"/>
        <v>0</v>
      </c>
      <c r="U223" s="41"/>
      <c r="V223" s="44" t="str">
        <f>IF($P223="High",$S223,IF($P223="Mix",SUMIF('High_Low Voltage Mix Summary'!$B$10:$B$17,$B148,'High_Low Voltage Mix Summary'!$D$10:$D$17),""))</f>
        <v/>
      </c>
      <c r="W223" s="44" t="str">
        <f>IF($P223="Low",$S223,IF($P223="Mix",SUMIF('High_Low Voltage Mix Summary'!$B$10:$B$17,$B148,'High_Low Voltage Mix Summary'!$E$10:$E$17),""))</f>
        <v/>
      </c>
      <c r="X223" s="44" t="str">
        <f>IF($P223="High",$T223,IF($P223="Mix",SUMIF('High_Low Voltage Mix Summary'!$B$10:$B$17,$B148,'High_Low Voltage Mix Summary'!$F$10:$F$17),""))</f>
        <v/>
      </c>
      <c r="Y223" s="44" t="str">
        <f>IF($P223="Low",$T223,IF($P223="Mix",SUMIF('High_Low Voltage Mix Summary'!$B$10:$B$17,$B148,'High_Low Voltage Mix Summary'!$G$10:$G$17),""))</f>
        <v/>
      </c>
      <c r="Z223" s="44" t="str">
        <f>IF(OR($P223="High",$P223="Low"),"",IF($P223="Mix",SUMIF('High_Low Voltage Mix Summary'!$B$10:$B$17,$B148,'High_Low Voltage Mix Summary'!$H$10:$H$17),""))</f>
        <v/>
      </c>
      <c r="AB223" s="49">
        <f>SUMIF('Antelope Bailey Split BA'!$B$7:$B$29,B223,'Antelope Bailey Split BA'!$C$7:$C$29)</f>
        <v>0</v>
      </c>
      <c r="AC223" s="49" t="str">
        <f>IF(AND(AB223=1,'Plant Total by Account'!$H$1=2),"EKWRA","")</f>
        <v/>
      </c>
    </row>
    <row r="224" spans="1:29" x14ac:dyDescent="0.2">
      <c r="A224" s="39" t="s">
        <v>2768</v>
      </c>
      <c r="B224" s="45" t="s">
        <v>321</v>
      </c>
      <c r="C224" s="40" t="s">
        <v>3334</v>
      </c>
      <c r="D224" s="53">
        <v>1458.57</v>
      </c>
      <c r="E224" s="53">
        <v>10369.050000000001</v>
      </c>
      <c r="F224" s="53">
        <v>683440.94000000006</v>
      </c>
      <c r="G224" s="578">
        <f t="shared" si="35"/>
        <v>695268.56</v>
      </c>
      <c r="H224" s="41"/>
      <c r="I224" s="41"/>
      <c r="J224" s="41"/>
      <c r="K224" s="41">
        <f t="shared" si="37"/>
        <v>1458.57</v>
      </c>
      <c r="L224" s="41">
        <f t="shared" si="38"/>
        <v>10369.050000000001</v>
      </c>
      <c r="M224" s="41">
        <f t="shared" si="39"/>
        <v>683440.94000000006</v>
      </c>
      <c r="N224" s="363">
        <f t="shared" si="36"/>
        <v>0</v>
      </c>
      <c r="O224" s="43" t="s">
        <v>3309</v>
      </c>
      <c r="P224" s="43"/>
      <c r="R224" s="41">
        <f t="shared" si="32"/>
        <v>0</v>
      </c>
      <c r="S224" s="41">
        <f t="shared" si="33"/>
        <v>0</v>
      </c>
      <c r="T224" s="41">
        <f t="shared" si="34"/>
        <v>0</v>
      </c>
      <c r="U224" s="41"/>
      <c r="V224" s="44" t="str">
        <f>IF($P224="High",$S224,IF($P224="Mix",SUMIF('High_Low Voltage Mix Summary'!$B$10:$B$17,$B659,'High_Low Voltage Mix Summary'!$D$10:$D$17),""))</f>
        <v/>
      </c>
      <c r="W224" s="44" t="str">
        <f>IF($P224="Low",$S224,IF($P224="Mix",SUMIF('High_Low Voltage Mix Summary'!$B$10:$B$17,$B659,'High_Low Voltage Mix Summary'!$E$10:$E$17),""))</f>
        <v/>
      </c>
      <c r="X224" s="44" t="str">
        <f>IF($P224="High",$T224,IF($P224="Mix",SUMIF('High_Low Voltage Mix Summary'!$B$10:$B$17,$B659,'High_Low Voltage Mix Summary'!$F$10:$F$17),""))</f>
        <v/>
      </c>
      <c r="Y224" s="44" t="str">
        <f>IF($P224="Low",$T224,IF($P224="Mix",SUMIF('High_Low Voltage Mix Summary'!$B$10:$B$17,$B659,'High_Low Voltage Mix Summary'!$G$10:$G$17),""))</f>
        <v/>
      </c>
      <c r="Z224" s="44" t="str">
        <f>IF(OR($P224="High",$P224="Low"),"",IF($P224="Mix",SUMIF('High_Low Voltage Mix Summary'!$B$10:$B$17,$B659,'High_Low Voltage Mix Summary'!$H$10:$H$17),""))</f>
        <v/>
      </c>
      <c r="AB224" s="49">
        <f>SUMIF('Antelope Bailey Split BA'!$B$7:$B$29,B224,'Antelope Bailey Split BA'!$C$7:$C$29)</f>
        <v>0</v>
      </c>
      <c r="AC224" s="49" t="str">
        <f>IF(AND(AB224=1,'Plant Total by Account'!$H$1=2),"EKWRA","")</f>
        <v/>
      </c>
    </row>
    <row r="225" spans="1:29" x14ac:dyDescent="0.2">
      <c r="A225" s="39" t="s">
        <v>2769</v>
      </c>
      <c r="B225" s="45" t="s">
        <v>322</v>
      </c>
      <c r="C225" s="40" t="s">
        <v>3334</v>
      </c>
      <c r="D225" s="53">
        <v>11437.98</v>
      </c>
      <c r="E225" s="53">
        <v>24044.14</v>
      </c>
      <c r="F225" s="53">
        <v>1016393.1299999998</v>
      </c>
      <c r="G225" s="578">
        <f t="shared" si="35"/>
        <v>1051875.2499999998</v>
      </c>
      <c r="H225" s="41"/>
      <c r="I225" s="41"/>
      <c r="J225" s="41"/>
      <c r="K225" s="41">
        <f t="shared" si="37"/>
        <v>11437.98</v>
      </c>
      <c r="L225" s="41">
        <f t="shared" si="38"/>
        <v>24044.14</v>
      </c>
      <c r="M225" s="41">
        <f t="shared" si="39"/>
        <v>1016393.1299999998</v>
      </c>
      <c r="N225" s="363">
        <f t="shared" si="36"/>
        <v>0</v>
      </c>
      <c r="O225" s="43" t="s">
        <v>3309</v>
      </c>
      <c r="P225" s="43"/>
      <c r="R225" s="41">
        <f t="shared" si="32"/>
        <v>0</v>
      </c>
      <c r="S225" s="41">
        <f t="shared" si="33"/>
        <v>0</v>
      </c>
      <c r="T225" s="41">
        <f t="shared" si="34"/>
        <v>0</v>
      </c>
      <c r="U225" s="41"/>
      <c r="V225" s="44" t="str">
        <f>IF($P225="High",$S225,IF($P225="Mix",SUMIF('High_Low Voltage Mix Summary'!$B$10:$B$17,$B149,'High_Low Voltage Mix Summary'!$D$10:$D$17),""))</f>
        <v/>
      </c>
      <c r="W225" s="44" t="str">
        <f>IF($P225="Low",$S225,IF($P225="Mix",SUMIF('High_Low Voltage Mix Summary'!$B$10:$B$17,$B149,'High_Low Voltage Mix Summary'!$E$10:$E$17),""))</f>
        <v/>
      </c>
      <c r="X225" s="44" t="str">
        <f>IF($P225="High",$T225,IF($P225="Mix",SUMIF('High_Low Voltage Mix Summary'!$B$10:$B$17,$B149,'High_Low Voltage Mix Summary'!$F$10:$F$17),""))</f>
        <v/>
      </c>
      <c r="Y225" s="44" t="str">
        <f>IF($P225="Low",$T225,IF($P225="Mix",SUMIF('High_Low Voltage Mix Summary'!$B$10:$B$17,$B149,'High_Low Voltage Mix Summary'!$G$10:$G$17),""))</f>
        <v/>
      </c>
      <c r="Z225" s="44" t="str">
        <f>IF(OR($P225="High",$P225="Low"),"",IF($P225="Mix",SUMIF('High_Low Voltage Mix Summary'!$B$10:$B$17,$B149,'High_Low Voltage Mix Summary'!$H$10:$H$17),""))</f>
        <v/>
      </c>
      <c r="AB225" s="49">
        <f>SUMIF('Antelope Bailey Split BA'!$B$7:$B$29,B225,'Antelope Bailey Split BA'!$C$7:$C$29)</f>
        <v>0</v>
      </c>
      <c r="AC225" s="49" t="str">
        <f>IF(AND(AB225=1,'Plant Total by Account'!$H$1=2),"EKWRA","")</f>
        <v/>
      </c>
    </row>
    <row r="226" spans="1:29" x14ac:dyDescent="0.2">
      <c r="A226" s="39" t="s">
        <v>2770</v>
      </c>
      <c r="B226" s="45" t="s">
        <v>323</v>
      </c>
      <c r="C226" s="40" t="s">
        <v>3334</v>
      </c>
      <c r="D226" s="53">
        <v>63292.340000000011</v>
      </c>
      <c r="E226" s="53">
        <v>136964.93000000002</v>
      </c>
      <c r="F226" s="53">
        <v>3369108.7700000028</v>
      </c>
      <c r="G226" s="578">
        <f t="shared" si="35"/>
        <v>3569366.0400000028</v>
      </c>
      <c r="H226" s="41"/>
      <c r="I226" s="41"/>
      <c r="J226" s="41"/>
      <c r="K226" s="41">
        <f t="shared" si="37"/>
        <v>63292.340000000011</v>
      </c>
      <c r="L226" s="41">
        <f t="shared" si="38"/>
        <v>136964.93000000002</v>
      </c>
      <c r="M226" s="41">
        <f t="shared" si="39"/>
        <v>3369108.7700000028</v>
      </c>
      <c r="N226" s="363">
        <f t="shared" si="36"/>
        <v>0</v>
      </c>
      <c r="O226" s="43" t="s">
        <v>3309</v>
      </c>
      <c r="P226" s="43"/>
      <c r="R226" s="41">
        <f t="shared" si="32"/>
        <v>0</v>
      </c>
      <c r="S226" s="41">
        <f t="shared" si="33"/>
        <v>0</v>
      </c>
      <c r="T226" s="41">
        <f t="shared" si="34"/>
        <v>0</v>
      </c>
      <c r="U226" s="41"/>
      <c r="V226" s="44" t="str">
        <f>IF($P226="High",$S226,IF($P226="Mix",SUMIF('High_Low Voltage Mix Summary'!$B$10:$B$17,$B150,'High_Low Voltage Mix Summary'!$D$10:$D$17),""))</f>
        <v/>
      </c>
      <c r="W226" s="44" t="str">
        <f>IF($P226="Low",$S226,IF($P226="Mix",SUMIF('High_Low Voltage Mix Summary'!$B$10:$B$17,$B150,'High_Low Voltage Mix Summary'!$E$10:$E$17),""))</f>
        <v/>
      </c>
      <c r="X226" s="44" t="str">
        <f>IF($P226="High",$T226,IF($P226="Mix",SUMIF('High_Low Voltage Mix Summary'!$B$10:$B$17,$B150,'High_Low Voltage Mix Summary'!$F$10:$F$17),""))</f>
        <v/>
      </c>
      <c r="Y226" s="44" t="str">
        <f>IF($P226="Low",$T226,IF($P226="Mix",SUMIF('High_Low Voltage Mix Summary'!$B$10:$B$17,$B150,'High_Low Voltage Mix Summary'!$G$10:$G$17),""))</f>
        <v/>
      </c>
      <c r="Z226" s="44" t="str">
        <f>IF(OR($P226="High",$P226="Low"),"",IF($P226="Mix",SUMIF('High_Low Voltage Mix Summary'!$B$10:$B$17,$B150,'High_Low Voltage Mix Summary'!$H$10:$H$17),""))</f>
        <v/>
      </c>
      <c r="AB226" s="49">
        <f>SUMIF('Antelope Bailey Split BA'!$B$7:$B$29,B226,'Antelope Bailey Split BA'!$C$7:$C$29)</f>
        <v>0</v>
      </c>
      <c r="AC226" s="49" t="str">
        <f>IF(AND(AB226=1,'Plant Total by Account'!$H$1=2),"EKWRA","")</f>
        <v/>
      </c>
    </row>
    <row r="227" spans="1:29" x14ac:dyDescent="0.2">
      <c r="A227" s="39" t="s">
        <v>2771</v>
      </c>
      <c r="B227" s="45" t="s">
        <v>324</v>
      </c>
      <c r="C227" s="40" t="s">
        <v>3334</v>
      </c>
      <c r="D227" s="53">
        <v>0</v>
      </c>
      <c r="E227" s="53">
        <v>1826.38</v>
      </c>
      <c r="F227" s="53">
        <v>104324.97</v>
      </c>
      <c r="G227" s="578">
        <f t="shared" si="35"/>
        <v>106151.35</v>
      </c>
      <c r="H227" s="41"/>
      <c r="I227" s="41"/>
      <c r="J227" s="41"/>
      <c r="K227" s="41">
        <f t="shared" si="37"/>
        <v>0</v>
      </c>
      <c r="L227" s="41">
        <f t="shared" si="38"/>
        <v>1826.38</v>
      </c>
      <c r="M227" s="41">
        <f t="shared" si="39"/>
        <v>104324.97</v>
      </c>
      <c r="N227" s="363">
        <f t="shared" si="36"/>
        <v>0</v>
      </c>
      <c r="O227" s="43" t="s">
        <v>3309</v>
      </c>
      <c r="P227" s="43"/>
      <c r="R227" s="41">
        <f t="shared" si="32"/>
        <v>0</v>
      </c>
      <c r="S227" s="41">
        <f t="shared" si="33"/>
        <v>0</v>
      </c>
      <c r="T227" s="41">
        <f t="shared" si="34"/>
        <v>0</v>
      </c>
      <c r="U227" s="41"/>
      <c r="V227" s="44" t="str">
        <f>IF($P227="High",$S227,IF($P227="Mix",SUMIF('High_Low Voltage Mix Summary'!$B$10:$B$17,$B151,'High_Low Voltage Mix Summary'!$D$10:$D$17),""))</f>
        <v/>
      </c>
      <c r="W227" s="44" t="str">
        <f>IF($P227="Low",$S227,IF($P227="Mix",SUMIF('High_Low Voltage Mix Summary'!$B$10:$B$17,$B151,'High_Low Voltage Mix Summary'!$E$10:$E$17),""))</f>
        <v/>
      </c>
      <c r="X227" s="44" t="str">
        <f>IF($P227="High",$T227,IF($P227="Mix",SUMIF('High_Low Voltage Mix Summary'!$B$10:$B$17,$B151,'High_Low Voltage Mix Summary'!$F$10:$F$17),""))</f>
        <v/>
      </c>
      <c r="Y227" s="44" t="str">
        <f>IF($P227="Low",$T227,IF($P227="Mix",SUMIF('High_Low Voltage Mix Summary'!$B$10:$B$17,$B151,'High_Low Voltage Mix Summary'!$G$10:$G$17),""))</f>
        <v/>
      </c>
      <c r="Z227" s="44" t="str">
        <f>IF(OR($P227="High",$P227="Low"),"",IF($P227="Mix",SUMIF('High_Low Voltage Mix Summary'!$B$10:$B$17,$B151,'High_Low Voltage Mix Summary'!$H$10:$H$17),""))</f>
        <v/>
      </c>
      <c r="AB227" s="49">
        <f>SUMIF('Antelope Bailey Split BA'!$B$7:$B$29,B227,'Antelope Bailey Split BA'!$C$7:$C$29)</f>
        <v>0</v>
      </c>
      <c r="AC227" s="49" t="str">
        <f>IF(AND(AB227=1,'Plant Total by Account'!$H$1=2),"EKWRA","")</f>
        <v/>
      </c>
    </row>
    <row r="228" spans="1:29" x14ac:dyDescent="0.2">
      <c r="A228" s="39" t="s">
        <v>2772</v>
      </c>
      <c r="B228" s="45" t="s">
        <v>325</v>
      </c>
      <c r="C228" s="40" t="s">
        <v>3334</v>
      </c>
      <c r="D228" s="53">
        <v>0</v>
      </c>
      <c r="E228" s="53">
        <v>151724.89000000001</v>
      </c>
      <c r="F228" s="53">
        <v>1611562.0500000003</v>
      </c>
      <c r="G228" s="578">
        <f t="shared" si="35"/>
        <v>1763286.9400000004</v>
      </c>
      <c r="H228" s="41"/>
      <c r="I228" s="41"/>
      <c r="J228" s="41"/>
      <c r="K228" s="41">
        <f t="shared" si="37"/>
        <v>0</v>
      </c>
      <c r="L228" s="41">
        <f t="shared" si="38"/>
        <v>151724.89000000001</v>
      </c>
      <c r="M228" s="41">
        <f t="shared" si="39"/>
        <v>1611562.0500000003</v>
      </c>
      <c r="N228" s="363">
        <f t="shared" si="36"/>
        <v>0</v>
      </c>
      <c r="O228" s="43" t="s">
        <v>3309</v>
      </c>
      <c r="P228" s="43"/>
      <c r="R228" s="41">
        <f t="shared" si="32"/>
        <v>0</v>
      </c>
      <c r="S228" s="41">
        <f t="shared" si="33"/>
        <v>0</v>
      </c>
      <c r="T228" s="41">
        <f t="shared" si="34"/>
        <v>0</v>
      </c>
      <c r="U228" s="41"/>
      <c r="V228" s="44" t="str">
        <f>IF($P228="High",$S228,IF($P228="Mix",SUMIF('High_Low Voltage Mix Summary'!$B$10:$B$17,$B152,'High_Low Voltage Mix Summary'!$D$10:$D$17),""))</f>
        <v/>
      </c>
      <c r="W228" s="44" t="str">
        <f>IF($P228="Low",$S228,IF($P228="Mix",SUMIF('High_Low Voltage Mix Summary'!$B$10:$B$17,$B152,'High_Low Voltage Mix Summary'!$E$10:$E$17),""))</f>
        <v/>
      </c>
      <c r="X228" s="44" t="str">
        <f>IF($P228="High",$T228,IF($P228="Mix",SUMIF('High_Low Voltage Mix Summary'!$B$10:$B$17,$B152,'High_Low Voltage Mix Summary'!$F$10:$F$17),""))</f>
        <v/>
      </c>
      <c r="Y228" s="44" t="str">
        <f>IF($P228="Low",$T228,IF($P228="Mix",SUMIF('High_Low Voltage Mix Summary'!$B$10:$B$17,$B152,'High_Low Voltage Mix Summary'!$G$10:$G$17),""))</f>
        <v/>
      </c>
      <c r="Z228" s="44" t="str">
        <f>IF(OR($P228="High",$P228="Low"),"",IF($P228="Mix",SUMIF('High_Low Voltage Mix Summary'!$B$10:$B$17,$B152,'High_Low Voltage Mix Summary'!$H$10:$H$17),""))</f>
        <v/>
      </c>
      <c r="AB228" s="49">
        <f>SUMIF('Antelope Bailey Split BA'!$B$7:$B$29,B228,'Antelope Bailey Split BA'!$C$7:$C$29)</f>
        <v>0</v>
      </c>
      <c r="AC228" s="49" t="str">
        <f>IF(AND(AB228=1,'Plant Total by Account'!$H$1=2),"EKWRA","")</f>
        <v/>
      </c>
    </row>
    <row r="229" spans="1:29" x14ac:dyDescent="0.2">
      <c r="A229" s="39" t="s">
        <v>2773</v>
      </c>
      <c r="B229" s="45" t="s">
        <v>326</v>
      </c>
      <c r="C229" s="40" t="s">
        <v>3334</v>
      </c>
      <c r="D229" s="53">
        <v>36792.36</v>
      </c>
      <c r="E229" s="53">
        <v>211789.38999999996</v>
      </c>
      <c r="F229" s="53">
        <v>2184462.0500000003</v>
      </c>
      <c r="G229" s="578">
        <f t="shared" si="35"/>
        <v>2433043.8000000003</v>
      </c>
      <c r="H229" s="41"/>
      <c r="I229" s="41"/>
      <c r="J229" s="41"/>
      <c r="K229" s="41">
        <f t="shared" si="37"/>
        <v>36792.36</v>
      </c>
      <c r="L229" s="41">
        <f t="shared" si="38"/>
        <v>211789.38999999996</v>
      </c>
      <c r="M229" s="41">
        <f t="shared" si="39"/>
        <v>2184462.0500000003</v>
      </c>
      <c r="N229" s="363">
        <f t="shared" si="36"/>
        <v>0</v>
      </c>
      <c r="O229" s="43" t="s">
        <v>3309</v>
      </c>
      <c r="P229" s="43"/>
      <c r="R229" s="41">
        <f t="shared" si="32"/>
        <v>0</v>
      </c>
      <c r="S229" s="41">
        <f t="shared" si="33"/>
        <v>0</v>
      </c>
      <c r="T229" s="41">
        <f t="shared" si="34"/>
        <v>0</v>
      </c>
      <c r="U229" s="41"/>
      <c r="V229" s="44" t="str">
        <f>IF($P229="High",$S229,IF($P229="Mix",SUMIF('High_Low Voltage Mix Summary'!$B$10:$B$17,$B153,'High_Low Voltage Mix Summary'!$D$10:$D$17),""))</f>
        <v/>
      </c>
      <c r="W229" s="44" t="str">
        <f>IF($P229="Low",$S229,IF($P229="Mix",SUMIF('High_Low Voltage Mix Summary'!$B$10:$B$17,$B153,'High_Low Voltage Mix Summary'!$E$10:$E$17),""))</f>
        <v/>
      </c>
      <c r="X229" s="44" t="str">
        <f>IF($P229="High",$T229,IF($P229="Mix",SUMIF('High_Low Voltage Mix Summary'!$B$10:$B$17,$B153,'High_Low Voltage Mix Summary'!$F$10:$F$17),""))</f>
        <v/>
      </c>
      <c r="Y229" s="44" t="str">
        <f>IF($P229="Low",$T229,IF($P229="Mix",SUMIF('High_Low Voltage Mix Summary'!$B$10:$B$17,$B153,'High_Low Voltage Mix Summary'!$G$10:$G$17),""))</f>
        <v/>
      </c>
      <c r="Z229" s="44" t="str">
        <f>IF(OR($P229="High",$P229="Low"),"",IF($P229="Mix",SUMIF('High_Low Voltage Mix Summary'!$B$10:$B$17,$B153,'High_Low Voltage Mix Summary'!$H$10:$H$17),""))</f>
        <v/>
      </c>
      <c r="AB229" s="49">
        <f>SUMIF('Antelope Bailey Split BA'!$B$7:$B$29,B229,'Antelope Bailey Split BA'!$C$7:$C$29)</f>
        <v>0</v>
      </c>
      <c r="AC229" s="49" t="str">
        <f>IF(AND(AB229=1,'Plant Total by Account'!$H$1=2),"EKWRA","")</f>
        <v/>
      </c>
    </row>
    <row r="230" spans="1:29" x14ac:dyDescent="0.2">
      <c r="A230" s="39" t="s">
        <v>2774</v>
      </c>
      <c r="B230" s="45" t="s">
        <v>327</v>
      </c>
      <c r="C230" s="40" t="s">
        <v>3334</v>
      </c>
      <c r="D230" s="53">
        <v>0</v>
      </c>
      <c r="E230" s="53">
        <v>3969.5</v>
      </c>
      <c r="F230" s="53">
        <v>1096286.42</v>
      </c>
      <c r="G230" s="578">
        <f t="shared" si="35"/>
        <v>1100255.92</v>
      </c>
      <c r="H230" s="41"/>
      <c r="I230" s="41"/>
      <c r="J230" s="41"/>
      <c r="K230" s="41">
        <f t="shared" si="37"/>
        <v>0</v>
      </c>
      <c r="L230" s="41">
        <f t="shared" si="38"/>
        <v>3969.5</v>
      </c>
      <c r="M230" s="41">
        <f t="shared" si="39"/>
        <v>1096286.42</v>
      </c>
      <c r="N230" s="363">
        <f t="shared" si="36"/>
        <v>0</v>
      </c>
      <c r="O230" s="43" t="s">
        <v>3309</v>
      </c>
      <c r="P230" s="43"/>
      <c r="R230" s="41">
        <f t="shared" si="32"/>
        <v>0</v>
      </c>
      <c r="S230" s="41">
        <f t="shared" si="33"/>
        <v>0</v>
      </c>
      <c r="T230" s="41">
        <f t="shared" si="34"/>
        <v>0</v>
      </c>
      <c r="U230" s="41"/>
      <c r="V230" s="44" t="str">
        <f>IF($P230="High",$S230,IF($P230="Mix",SUMIF('High_Low Voltage Mix Summary'!$B$10:$B$17,$B154,'High_Low Voltage Mix Summary'!$D$10:$D$17),""))</f>
        <v/>
      </c>
      <c r="W230" s="44" t="str">
        <f>IF($P230="Low",$S230,IF($P230="Mix",SUMIF('High_Low Voltage Mix Summary'!$B$10:$B$17,$B154,'High_Low Voltage Mix Summary'!$E$10:$E$17),""))</f>
        <v/>
      </c>
      <c r="X230" s="44" t="str">
        <f>IF($P230="High",$T230,IF($P230="Mix",SUMIF('High_Low Voltage Mix Summary'!$B$10:$B$17,$B154,'High_Low Voltage Mix Summary'!$F$10:$F$17),""))</f>
        <v/>
      </c>
      <c r="Y230" s="44" t="str">
        <f>IF($P230="Low",$T230,IF($P230="Mix",SUMIF('High_Low Voltage Mix Summary'!$B$10:$B$17,$B154,'High_Low Voltage Mix Summary'!$G$10:$G$17),""))</f>
        <v/>
      </c>
      <c r="Z230" s="44" t="str">
        <f>IF(OR($P230="High",$P230="Low"),"",IF($P230="Mix",SUMIF('High_Low Voltage Mix Summary'!$B$10:$B$17,$B154,'High_Low Voltage Mix Summary'!$H$10:$H$17),""))</f>
        <v/>
      </c>
      <c r="AB230" s="49">
        <f>SUMIF('Antelope Bailey Split BA'!$B$7:$B$29,B230,'Antelope Bailey Split BA'!$C$7:$C$29)</f>
        <v>0</v>
      </c>
      <c r="AC230" s="49" t="str">
        <f>IF(AND(AB230=1,'Plant Total by Account'!$H$1=2),"EKWRA","")</f>
        <v/>
      </c>
    </row>
    <row r="231" spans="1:29" x14ac:dyDescent="0.2">
      <c r="A231" s="39" t="s">
        <v>2775</v>
      </c>
      <c r="B231" s="45" t="s">
        <v>328</v>
      </c>
      <c r="C231" s="40" t="s">
        <v>3334</v>
      </c>
      <c r="D231" s="53">
        <v>142.91</v>
      </c>
      <c r="E231" s="53">
        <v>8838.35</v>
      </c>
      <c r="F231" s="53">
        <v>915294.2899999998</v>
      </c>
      <c r="G231" s="578">
        <f t="shared" si="35"/>
        <v>924275.54999999981</v>
      </c>
      <c r="H231" s="41"/>
      <c r="I231" s="41"/>
      <c r="J231" s="41"/>
      <c r="K231" s="41">
        <f t="shared" si="37"/>
        <v>142.91</v>
      </c>
      <c r="L231" s="41">
        <f t="shared" si="38"/>
        <v>8838.35</v>
      </c>
      <c r="M231" s="41">
        <f t="shared" si="39"/>
        <v>915294.2899999998</v>
      </c>
      <c r="N231" s="363">
        <f t="shared" si="36"/>
        <v>0</v>
      </c>
      <c r="O231" s="43" t="s">
        <v>3309</v>
      </c>
      <c r="P231" s="43"/>
      <c r="R231" s="41">
        <f t="shared" si="32"/>
        <v>0</v>
      </c>
      <c r="S231" s="41">
        <f t="shared" si="33"/>
        <v>0</v>
      </c>
      <c r="T231" s="41">
        <f t="shared" si="34"/>
        <v>0</v>
      </c>
      <c r="U231" s="41"/>
      <c r="V231" s="44" t="str">
        <f>IF($P231="High",$S231,IF($P231="Mix",SUMIF('High_Low Voltage Mix Summary'!$B$10:$B$17,$B155,'High_Low Voltage Mix Summary'!$D$10:$D$17),""))</f>
        <v/>
      </c>
      <c r="W231" s="44" t="str">
        <f>IF($P231="Low",$S231,IF($P231="Mix",SUMIF('High_Low Voltage Mix Summary'!$B$10:$B$17,$B155,'High_Low Voltage Mix Summary'!$E$10:$E$17),""))</f>
        <v/>
      </c>
      <c r="X231" s="44" t="str">
        <f>IF($P231="High",$T231,IF($P231="Mix",SUMIF('High_Low Voltage Mix Summary'!$B$10:$B$17,$B155,'High_Low Voltage Mix Summary'!$F$10:$F$17),""))</f>
        <v/>
      </c>
      <c r="Y231" s="44" t="str">
        <f>IF($P231="Low",$T231,IF($P231="Mix",SUMIF('High_Low Voltage Mix Summary'!$B$10:$B$17,$B155,'High_Low Voltage Mix Summary'!$G$10:$G$17),""))</f>
        <v/>
      </c>
      <c r="Z231" s="44" t="str">
        <f>IF(OR($P231="High",$P231="Low"),"",IF($P231="Mix",SUMIF('High_Low Voltage Mix Summary'!$B$10:$B$17,$B155,'High_Low Voltage Mix Summary'!$H$10:$H$17),""))</f>
        <v/>
      </c>
      <c r="AB231" s="49">
        <f>SUMIF('Antelope Bailey Split BA'!$B$7:$B$29,B231,'Antelope Bailey Split BA'!$C$7:$C$29)</f>
        <v>0</v>
      </c>
      <c r="AC231" s="49" t="str">
        <f>IF(AND(AB231=1,'Plant Total by Account'!$H$1=2),"EKWRA","")</f>
        <v/>
      </c>
    </row>
    <row r="232" spans="1:29" x14ac:dyDescent="0.2">
      <c r="A232" s="39" t="s">
        <v>2776</v>
      </c>
      <c r="B232" s="45" t="s">
        <v>329</v>
      </c>
      <c r="C232" s="40" t="s">
        <v>3334</v>
      </c>
      <c r="D232" s="53">
        <v>87320.33</v>
      </c>
      <c r="E232" s="53">
        <v>529136.82000000007</v>
      </c>
      <c r="F232" s="53">
        <v>1218435.4099999997</v>
      </c>
      <c r="G232" s="578">
        <f t="shared" si="35"/>
        <v>1834892.5599999996</v>
      </c>
      <c r="H232" s="41"/>
      <c r="I232" s="41"/>
      <c r="J232" s="41"/>
      <c r="K232" s="41">
        <f t="shared" si="37"/>
        <v>87320.33</v>
      </c>
      <c r="L232" s="41">
        <f t="shared" si="38"/>
        <v>529136.82000000007</v>
      </c>
      <c r="M232" s="41">
        <f t="shared" si="39"/>
        <v>1218435.4099999997</v>
      </c>
      <c r="N232" s="363">
        <f t="shared" si="36"/>
        <v>0</v>
      </c>
      <c r="O232" s="43" t="s">
        <v>3309</v>
      </c>
      <c r="P232" s="43"/>
      <c r="R232" s="41">
        <f t="shared" si="32"/>
        <v>0</v>
      </c>
      <c r="S232" s="41">
        <f t="shared" si="33"/>
        <v>0</v>
      </c>
      <c r="T232" s="41">
        <f t="shared" si="34"/>
        <v>0</v>
      </c>
      <c r="U232" s="41"/>
      <c r="V232" s="44" t="str">
        <f>IF($P232="High",$S232,IF($P232="Mix",SUMIF('High_Low Voltage Mix Summary'!$B$10:$B$17,$B156,'High_Low Voltage Mix Summary'!$D$10:$D$17),""))</f>
        <v/>
      </c>
      <c r="W232" s="44" t="str">
        <f>IF($P232="Low",$S232,IF($P232="Mix",SUMIF('High_Low Voltage Mix Summary'!$B$10:$B$17,$B156,'High_Low Voltage Mix Summary'!$E$10:$E$17),""))</f>
        <v/>
      </c>
      <c r="X232" s="44" t="str">
        <f>IF($P232="High",$T232,IF($P232="Mix",SUMIF('High_Low Voltage Mix Summary'!$B$10:$B$17,$B156,'High_Low Voltage Mix Summary'!$F$10:$F$17),""))</f>
        <v/>
      </c>
      <c r="Y232" s="44" t="str">
        <f>IF($P232="Low",$T232,IF($P232="Mix",SUMIF('High_Low Voltage Mix Summary'!$B$10:$B$17,$B156,'High_Low Voltage Mix Summary'!$G$10:$G$17),""))</f>
        <v/>
      </c>
      <c r="Z232" s="44" t="str">
        <f>IF(OR($P232="High",$P232="Low"),"",IF($P232="Mix",SUMIF('High_Low Voltage Mix Summary'!$B$10:$B$17,$B156,'High_Low Voltage Mix Summary'!$H$10:$H$17),""))</f>
        <v/>
      </c>
      <c r="AB232" s="49">
        <f>SUMIF('Antelope Bailey Split BA'!$B$7:$B$29,B232,'Antelope Bailey Split BA'!$C$7:$C$29)</f>
        <v>0</v>
      </c>
      <c r="AC232" s="49" t="str">
        <f>IF(AND(AB232=1,'Plant Total by Account'!$H$1=2),"EKWRA","")</f>
        <v/>
      </c>
    </row>
    <row r="233" spans="1:29" x14ac:dyDescent="0.2">
      <c r="A233" s="39" t="s">
        <v>2777</v>
      </c>
      <c r="B233" s="45" t="s">
        <v>330</v>
      </c>
      <c r="C233" s="40" t="s">
        <v>3334</v>
      </c>
      <c r="D233" s="53">
        <v>1828.6000000000001</v>
      </c>
      <c r="E233" s="53">
        <v>6948.38</v>
      </c>
      <c r="F233" s="53">
        <v>524458.89</v>
      </c>
      <c r="G233" s="578">
        <f t="shared" si="35"/>
        <v>533235.87</v>
      </c>
      <c r="H233" s="41"/>
      <c r="I233" s="41"/>
      <c r="J233" s="41"/>
      <c r="K233" s="41">
        <f t="shared" si="37"/>
        <v>1828.6000000000001</v>
      </c>
      <c r="L233" s="41">
        <f t="shared" si="38"/>
        <v>6948.38</v>
      </c>
      <c r="M233" s="41">
        <f t="shared" si="39"/>
        <v>524458.89</v>
      </c>
      <c r="N233" s="363">
        <f t="shared" si="36"/>
        <v>0</v>
      </c>
      <c r="O233" s="43" t="s">
        <v>3309</v>
      </c>
      <c r="P233" s="43"/>
      <c r="R233" s="41">
        <f t="shared" si="32"/>
        <v>0</v>
      </c>
      <c r="S233" s="41">
        <f t="shared" si="33"/>
        <v>0</v>
      </c>
      <c r="T233" s="41">
        <f t="shared" si="34"/>
        <v>0</v>
      </c>
      <c r="U233" s="41"/>
      <c r="V233" s="44" t="str">
        <f>IF($P233="High",$S233,IF($P233="Mix",SUMIF('High_Low Voltage Mix Summary'!$B$10:$B$17,$B157,'High_Low Voltage Mix Summary'!$D$10:$D$17),""))</f>
        <v/>
      </c>
      <c r="W233" s="44" t="str">
        <f>IF($P233="Low",$S233,IF($P233="Mix",SUMIF('High_Low Voltage Mix Summary'!$B$10:$B$17,$B157,'High_Low Voltage Mix Summary'!$E$10:$E$17),""))</f>
        <v/>
      </c>
      <c r="X233" s="44" t="str">
        <f>IF($P233="High",$T233,IF($P233="Mix",SUMIF('High_Low Voltage Mix Summary'!$B$10:$B$17,$B157,'High_Low Voltage Mix Summary'!$F$10:$F$17),""))</f>
        <v/>
      </c>
      <c r="Y233" s="44" t="str">
        <f>IF($P233="Low",$T233,IF($P233="Mix",SUMIF('High_Low Voltage Mix Summary'!$B$10:$B$17,$B157,'High_Low Voltage Mix Summary'!$G$10:$G$17),""))</f>
        <v/>
      </c>
      <c r="Z233" s="44" t="str">
        <f>IF(OR($P233="High",$P233="Low"),"",IF($P233="Mix",SUMIF('High_Low Voltage Mix Summary'!$B$10:$B$17,$B157,'High_Low Voltage Mix Summary'!$H$10:$H$17),""))</f>
        <v/>
      </c>
      <c r="AB233" s="49">
        <f>SUMIF('Antelope Bailey Split BA'!$B$7:$B$29,B233,'Antelope Bailey Split BA'!$C$7:$C$29)</f>
        <v>0</v>
      </c>
      <c r="AC233" s="49" t="str">
        <f>IF(AND(AB233=1,'Plant Total by Account'!$H$1=2),"EKWRA","")</f>
        <v/>
      </c>
    </row>
    <row r="234" spans="1:29" x14ac:dyDescent="0.2">
      <c r="A234" s="39" t="s">
        <v>2778</v>
      </c>
      <c r="B234" s="45" t="s">
        <v>331</v>
      </c>
      <c r="C234" s="40" t="s">
        <v>3334</v>
      </c>
      <c r="D234" s="53">
        <v>4987.68</v>
      </c>
      <c r="E234" s="53">
        <v>455495.92</v>
      </c>
      <c r="F234" s="53">
        <v>2455023.169999999</v>
      </c>
      <c r="G234" s="578">
        <f t="shared" si="35"/>
        <v>2915506.7699999991</v>
      </c>
      <c r="H234" s="41"/>
      <c r="I234" s="41"/>
      <c r="J234" s="41"/>
      <c r="K234" s="41">
        <f t="shared" si="37"/>
        <v>4987.68</v>
      </c>
      <c r="L234" s="41">
        <f t="shared" si="38"/>
        <v>455495.92</v>
      </c>
      <c r="M234" s="41">
        <f t="shared" si="39"/>
        <v>2455023.169999999</v>
      </c>
      <c r="N234" s="363">
        <f t="shared" si="36"/>
        <v>0</v>
      </c>
      <c r="O234" s="43" t="s">
        <v>3309</v>
      </c>
      <c r="P234" s="43"/>
      <c r="R234" s="41">
        <f t="shared" si="32"/>
        <v>0</v>
      </c>
      <c r="S234" s="41">
        <f t="shared" si="33"/>
        <v>0</v>
      </c>
      <c r="T234" s="41">
        <f t="shared" si="34"/>
        <v>0</v>
      </c>
      <c r="U234" s="41"/>
      <c r="V234" s="44" t="str">
        <f>IF($P234="High",$S234,IF($P234="Mix",SUMIF('High_Low Voltage Mix Summary'!$B$10:$B$17,$B158,'High_Low Voltage Mix Summary'!$D$10:$D$17),""))</f>
        <v/>
      </c>
      <c r="W234" s="44" t="str">
        <f>IF($P234="Low",$S234,IF($P234="Mix",SUMIF('High_Low Voltage Mix Summary'!$B$10:$B$17,$B158,'High_Low Voltage Mix Summary'!$E$10:$E$17),""))</f>
        <v/>
      </c>
      <c r="X234" s="44" t="str">
        <f>IF($P234="High",$T234,IF($P234="Mix",SUMIF('High_Low Voltage Mix Summary'!$B$10:$B$17,$B158,'High_Low Voltage Mix Summary'!$F$10:$F$17),""))</f>
        <v/>
      </c>
      <c r="Y234" s="44" t="str">
        <f>IF($P234="Low",$T234,IF($P234="Mix",SUMIF('High_Low Voltage Mix Summary'!$B$10:$B$17,$B158,'High_Low Voltage Mix Summary'!$G$10:$G$17),""))</f>
        <v/>
      </c>
      <c r="Z234" s="44" t="str">
        <f>IF(OR($P234="High",$P234="Low"),"",IF($P234="Mix",SUMIF('High_Low Voltage Mix Summary'!$B$10:$B$17,$B158,'High_Low Voltage Mix Summary'!$H$10:$H$17),""))</f>
        <v/>
      </c>
      <c r="AB234" s="49">
        <f>SUMIF('Antelope Bailey Split BA'!$B$7:$B$29,B234,'Antelope Bailey Split BA'!$C$7:$C$29)</f>
        <v>0</v>
      </c>
      <c r="AC234" s="49" t="str">
        <f>IF(AND(AB234=1,'Plant Total by Account'!$H$1=2),"EKWRA","")</f>
        <v/>
      </c>
    </row>
    <row r="235" spans="1:29" x14ac:dyDescent="0.2">
      <c r="A235" s="39" t="s">
        <v>2779</v>
      </c>
      <c r="B235" s="45" t="s">
        <v>332</v>
      </c>
      <c r="C235" s="40" t="s">
        <v>3334</v>
      </c>
      <c r="D235" s="53">
        <v>2246.6799999999998</v>
      </c>
      <c r="E235" s="53">
        <v>6418.9400000000005</v>
      </c>
      <c r="F235" s="53">
        <v>905116.82999999984</v>
      </c>
      <c r="G235" s="578">
        <f t="shared" si="35"/>
        <v>913782.44999999984</v>
      </c>
      <c r="H235" s="41"/>
      <c r="I235" s="41"/>
      <c r="J235" s="41"/>
      <c r="K235" s="41">
        <f t="shared" si="37"/>
        <v>2246.6799999999998</v>
      </c>
      <c r="L235" s="41">
        <f t="shared" si="38"/>
        <v>6418.9400000000005</v>
      </c>
      <c r="M235" s="41">
        <f t="shared" si="39"/>
        <v>905116.82999999984</v>
      </c>
      <c r="N235" s="363">
        <f t="shared" si="36"/>
        <v>0</v>
      </c>
      <c r="O235" s="43" t="s">
        <v>3309</v>
      </c>
      <c r="P235" s="43"/>
      <c r="R235" s="41">
        <f t="shared" si="32"/>
        <v>0</v>
      </c>
      <c r="S235" s="41">
        <f t="shared" si="33"/>
        <v>0</v>
      </c>
      <c r="T235" s="41">
        <f t="shared" si="34"/>
        <v>0</v>
      </c>
      <c r="U235" s="41"/>
      <c r="V235" s="44" t="str">
        <f>IF($P235="High",$S235,IF($P235="Mix",SUMIF('High_Low Voltage Mix Summary'!$B$10:$B$17,$B159,'High_Low Voltage Mix Summary'!$D$10:$D$17),""))</f>
        <v/>
      </c>
      <c r="W235" s="44" t="str">
        <f>IF($P235="Low",$S235,IF($P235="Mix",SUMIF('High_Low Voltage Mix Summary'!$B$10:$B$17,$B159,'High_Low Voltage Mix Summary'!$E$10:$E$17),""))</f>
        <v/>
      </c>
      <c r="X235" s="44" t="str">
        <f>IF($P235="High",$T235,IF($P235="Mix",SUMIF('High_Low Voltage Mix Summary'!$B$10:$B$17,$B159,'High_Low Voltage Mix Summary'!$F$10:$F$17),""))</f>
        <v/>
      </c>
      <c r="Y235" s="44" t="str">
        <f>IF($P235="Low",$T235,IF($P235="Mix",SUMIF('High_Low Voltage Mix Summary'!$B$10:$B$17,$B159,'High_Low Voltage Mix Summary'!$G$10:$G$17),""))</f>
        <v/>
      </c>
      <c r="Z235" s="44" t="str">
        <f>IF(OR($P235="High",$P235="Low"),"",IF($P235="Mix",SUMIF('High_Low Voltage Mix Summary'!$B$10:$B$17,$B159,'High_Low Voltage Mix Summary'!$H$10:$H$17),""))</f>
        <v/>
      </c>
      <c r="AB235" s="49">
        <f>SUMIF('Antelope Bailey Split BA'!$B$7:$B$29,B235,'Antelope Bailey Split BA'!$C$7:$C$29)</f>
        <v>0</v>
      </c>
      <c r="AC235" s="49" t="str">
        <f>IF(AND(AB235=1,'Plant Total by Account'!$H$1=2),"EKWRA","")</f>
        <v/>
      </c>
    </row>
    <row r="236" spans="1:29" x14ac:dyDescent="0.2">
      <c r="A236" s="39" t="s">
        <v>2780</v>
      </c>
      <c r="B236" s="45" t="s">
        <v>333</v>
      </c>
      <c r="C236" s="40" t="s">
        <v>3334</v>
      </c>
      <c r="D236" s="53">
        <v>0</v>
      </c>
      <c r="E236" s="53">
        <v>122667.46000000002</v>
      </c>
      <c r="F236" s="53">
        <v>3247629.100000001</v>
      </c>
      <c r="G236" s="578">
        <f t="shared" si="35"/>
        <v>3370296.560000001</v>
      </c>
      <c r="H236" s="41"/>
      <c r="I236" s="41"/>
      <c r="J236" s="41"/>
      <c r="K236" s="41">
        <f t="shared" si="37"/>
        <v>0</v>
      </c>
      <c r="L236" s="41">
        <f t="shared" si="38"/>
        <v>122667.46000000002</v>
      </c>
      <c r="M236" s="41">
        <f t="shared" si="39"/>
        <v>3247629.100000001</v>
      </c>
      <c r="N236" s="363">
        <f t="shared" si="36"/>
        <v>0</v>
      </c>
      <c r="O236" s="43" t="s">
        <v>3309</v>
      </c>
      <c r="P236" s="43"/>
      <c r="R236" s="41">
        <f t="shared" si="32"/>
        <v>0</v>
      </c>
      <c r="S236" s="41">
        <f t="shared" si="33"/>
        <v>0</v>
      </c>
      <c r="T236" s="41">
        <f t="shared" si="34"/>
        <v>0</v>
      </c>
      <c r="U236" s="41"/>
      <c r="V236" s="44" t="str">
        <f>IF($P236="High",$S236,IF($P236="Mix",SUMIF('High_Low Voltage Mix Summary'!$B$10:$B$17,$B160,'High_Low Voltage Mix Summary'!$D$10:$D$17),""))</f>
        <v/>
      </c>
      <c r="W236" s="44" t="str">
        <f>IF($P236="Low",$S236,IF($P236="Mix",SUMIF('High_Low Voltage Mix Summary'!$B$10:$B$17,$B160,'High_Low Voltage Mix Summary'!$E$10:$E$17),""))</f>
        <v/>
      </c>
      <c r="X236" s="44" t="str">
        <f>IF($P236="High",$T236,IF($P236="Mix",SUMIF('High_Low Voltage Mix Summary'!$B$10:$B$17,$B160,'High_Low Voltage Mix Summary'!$F$10:$F$17),""))</f>
        <v/>
      </c>
      <c r="Y236" s="44" t="str">
        <f>IF($P236="Low",$T236,IF($P236="Mix",SUMIF('High_Low Voltage Mix Summary'!$B$10:$B$17,$B160,'High_Low Voltage Mix Summary'!$G$10:$G$17),""))</f>
        <v/>
      </c>
      <c r="Z236" s="44" t="str">
        <f>IF(OR($P236="High",$P236="Low"),"",IF($P236="Mix",SUMIF('High_Low Voltage Mix Summary'!$B$10:$B$17,$B160,'High_Low Voltage Mix Summary'!$H$10:$H$17),""))</f>
        <v/>
      </c>
      <c r="AB236" s="49">
        <f>SUMIF('Antelope Bailey Split BA'!$B$7:$B$29,B236,'Antelope Bailey Split BA'!$C$7:$C$29)</f>
        <v>0</v>
      </c>
      <c r="AC236" s="49" t="str">
        <f>IF(AND(AB236=1,'Plant Total by Account'!$H$1=2),"EKWRA","")</f>
        <v/>
      </c>
    </row>
    <row r="237" spans="1:29" x14ac:dyDescent="0.2">
      <c r="A237" s="39" t="s">
        <v>2781</v>
      </c>
      <c r="B237" s="45" t="s">
        <v>334</v>
      </c>
      <c r="C237" s="40" t="s">
        <v>3334</v>
      </c>
      <c r="D237" s="53">
        <v>0</v>
      </c>
      <c r="E237" s="53">
        <v>5013.8900000000003</v>
      </c>
      <c r="F237" s="53">
        <v>154037.78</v>
      </c>
      <c r="G237" s="578">
        <f t="shared" si="35"/>
        <v>159051.67000000001</v>
      </c>
      <c r="H237" s="41"/>
      <c r="I237" s="41"/>
      <c r="J237" s="41"/>
      <c r="K237" s="41">
        <f t="shared" si="37"/>
        <v>0</v>
      </c>
      <c r="L237" s="41">
        <f t="shared" si="38"/>
        <v>5013.8900000000003</v>
      </c>
      <c r="M237" s="41">
        <f t="shared" si="39"/>
        <v>154037.78</v>
      </c>
      <c r="N237" s="363">
        <f t="shared" si="36"/>
        <v>0</v>
      </c>
      <c r="O237" s="43" t="s">
        <v>3309</v>
      </c>
      <c r="P237" s="43"/>
      <c r="R237" s="41">
        <f t="shared" si="32"/>
        <v>0</v>
      </c>
      <c r="S237" s="41">
        <f t="shared" si="33"/>
        <v>0</v>
      </c>
      <c r="T237" s="41">
        <f t="shared" si="34"/>
        <v>0</v>
      </c>
      <c r="U237" s="41"/>
      <c r="V237" s="44" t="str">
        <f>IF($P237="High",$S237,IF($P237="Mix",SUMIF('High_Low Voltage Mix Summary'!$B$10:$B$17,$B161,'High_Low Voltage Mix Summary'!$D$10:$D$17),""))</f>
        <v/>
      </c>
      <c r="W237" s="44" t="str">
        <f>IF($P237="Low",$S237,IF($P237="Mix",SUMIF('High_Low Voltage Mix Summary'!$B$10:$B$17,$B161,'High_Low Voltage Mix Summary'!$E$10:$E$17),""))</f>
        <v/>
      </c>
      <c r="X237" s="44" t="str">
        <f>IF($P237="High",$T237,IF($P237="Mix",SUMIF('High_Low Voltage Mix Summary'!$B$10:$B$17,$B161,'High_Low Voltage Mix Summary'!$F$10:$F$17),""))</f>
        <v/>
      </c>
      <c r="Y237" s="44" t="str">
        <f>IF($P237="Low",$T237,IF($P237="Mix",SUMIF('High_Low Voltage Mix Summary'!$B$10:$B$17,$B161,'High_Low Voltage Mix Summary'!$G$10:$G$17),""))</f>
        <v/>
      </c>
      <c r="Z237" s="44" t="str">
        <f>IF(OR($P237="High",$P237="Low"),"",IF($P237="Mix",SUMIF('High_Low Voltage Mix Summary'!$B$10:$B$17,$B161,'High_Low Voltage Mix Summary'!$H$10:$H$17),""))</f>
        <v/>
      </c>
      <c r="AB237" s="49">
        <f>SUMIF('Antelope Bailey Split BA'!$B$7:$B$29,B237,'Antelope Bailey Split BA'!$C$7:$C$29)</f>
        <v>0</v>
      </c>
      <c r="AC237" s="49" t="str">
        <f>IF(AND(AB237=1,'Plant Total by Account'!$H$1=2),"EKWRA","")</f>
        <v/>
      </c>
    </row>
    <row r="238" spans="1:29" x14ac:dyDescent="0.2">
      <c r="A238" s="39" t="s">
        <v>2782</v>
      </c>
      <c r="B238" s="45" t="s">
        <v>335</v>
      </c>
      <c r="C238" s="40" t="s">
        <v>3334</v>
      </c>
      <c r="D238" s="53">
        <v>0</v>
      </c>
      <c r="E238" s="53">
        <v>6901.4400000000005</v>
      </c>
      <c r="F238" s="53">
        <v>1818711.0600000003</v>
      </c>
      <c r="G238" s="578">
        <f t="shared" si="35"/>
        <v>1825612.5000000002</v>
      </c>
      <c r="H238" s="41"/>
      <c r="I238" s="41"/>
      <c r="J238" s="41"/>
      <c r="K238" s="41">
        <f t="shared" si="37"/>
        <v>0</v>
      </c>
      <c r="L238" s="41">
        <f t="shared" si="38"/>
        <v>6901.4400000000005</v>
      </c>
      <c r="M238" s="41">
        <f t="shared" si="39"/>
        <v>1818711.0600000003</v>
      </c>
      <c r="N238" s="363">
        <f t="shared" si="36"/>
        <v>0</v>
      </c>
      <c r="O238" s="43" t="s">
        <v>3309</v>
      </c>
      <c r="P238" s="43"/>
      <c r="R238" s="41">
        <f t="shared" si="32"/>
        <v>0</v>
      </c>
      <c r="S238" s="41">
        <f t="shared" si="33"/>
        <v>0</v>
      </c>
      <c r="T238" s="41">
        <f t="shared" si="34"/>
        <v>0</v>
      </c>
      <c r="U238" s="41"/>
      <c r="V238" s="44" t="str">
        <f>IF($P238="High",$S238,IF($P238="Mix",SUMIF('High_Low Voltage Mix Summary'!$B$10:$B$17,$B162,'High_Low Voltage Mix Summary'!$D$10:$D$17),""))</f>
        <v/>
      </c>
      <c r="W238" s="44" t="str">
        <f>IF($P238="Low",$S238,IF($P238="Mix",SUMIF('High_Low Voltage Mix Summary'!$B$10:$B$17,$B162,'High_Low Voltage Mix Summary'!$E$10:$E$17),""))</f>
        <v/>
      </c>
      <c r="X238" s="44" t="str">
        <f>IF($P238="High",$T238,IF($P238="Mix",SUMIF('High_Low Voltage Mix Summary'!$B$10:$B$17,$B162,'High_Low Voltage Mix Summary'!$F$10:$F$17),""))</f>
        <v/>
      </c>
      <c r="Y238" s="44" t="str">
        <f>IF($P238="Low",$T238,IF($P238="Mix",SUMIF('High_Low Voltage Mix Summary'!$B$10:$B$17,$B162,'High_Low Voltage Mix Summary'!$G$10:$G$17),""))</f>
        <v/>
      </c>
      <c r="Z238" s="44" t="str">
        <f>IF(OR($P238="High",$P238="Low"),"",IF($P238="Mix",SUMIF('High_Low Voltage Mix Summary'!$B$10:$B$17,$B162,'High_Low Voltage Mix Summary'!$H$10:$H$17),""))</f>
        <v/>
      </c>
      <c r="AB238" s="49">
        <f>SUMIF('Antelope Bailey Split BA'!$B$7:$B$29,B238,'Antelope Bailey Split BA'!$C$7:$C$29)</f>
        <v>0</v>
      </c>
      <c r="AC238" s="49" t="str">
        <f>IF(AND(AB238=1,'Plant Total by Account'!$H$1=2),"EKWRA","")</f>
        <v/>
      </c>
    </row>
    <row r="239" spans="1:29" x14ac:dyDescent="0.2">
      <c r="A239" s="39" t="s">
        <v>2783</v>
      </c>
      <c r="B239" s="45" t="s">
        <v>336</v>
      </c>
      <c r="C239" s="40" t="s">
        <v>3334</v>
      </c>
      <c r="D239" s="53">
        <v>0</v>
      </c>
      <c r="E239" s="53">
        <v>6841.4800000000005</v>
      </c>
      <c r="F239" s="53">
        <v>706438.14</v>
      </c>
      <c r="G239" s="578">
        <f t="shared" si="35"/>
        <v>713279.62</v>
      </c>
      <c r="H239" s="41"/>
      <c r="I239" s="41"/>
      <c r="J239" s="41"/>
      <c r="K239" s="41">
        <f t="shared" si="37"/>
        <v>0</v>
      </c>
      <c r="L239" s="41">
        <f t="shared" si="38"/>
        <v>6841.4800000000005</v>
      </c>
      <c r="M239" s="41">
        <f t="shared" si="39"/>
        <v>706438.14</v>
      </c>
      <c r="N239" s="363">
        <f t="shared" si="36"/>
        <v>0</v>
      </c>
      <c r="O239" s="43" t="s">
        <v>3309</v>
      </c>
      <c r="P239" s="43"/>
      <c r="R239" s="41">
        <f t="shared" si="32"/>
        <v>0</v>
      </c>
      <c r="S239" s="41">
        <f t="shared" si="33"/>
        <v>0</v>
      </c>
      <c r="T239" s="41">
        <f t="shared" si="34"/>
        <v>0</v>
      </c>
      <c r="U239" s="41"/>
      <c r="V239" s="44" t="str">
        <f>IF($P239="High",$S239,IF($P239="Mix",SUMIF('High_Low Voltage Mix Summary'!$B$10:$B$17,$B163,'High_Low Voltage Mix Summary'!$D$10:$D$17),""))</f>
        <v/>
      </c>
      <c r="W239" s="44" t="str">
        <f>IF($P239="Low",$S239,IF($P239="Mix",SUMIF('High_Low Voltage Mix Summary'!$B$10:$B$17,$B163,'High_Low Voltage Mix Summary'!$E$10:$E$17),""))</f>
        <v/>
      </c>
      <c r="X239" s="44" t="str">
        <f>IF($P239="High",$T239,IF($P239="Mix",SUMIF('High_Low Voltage Mix Summary'!$B$10:$B$17,$B163,'High_Low Voltage Mix Summary'!$F$10:$F$17),""))</f>
        <v/>
      </c>
      <c r="Y239" s="44" t="str">
        <f>IF($P239="Low",$T239,IF($P239="Mix",SUMIF('High_Low Voltage Mix Summary'!$B$10:$B$17,$B163,'High_Low Voltage Mix Summary'!$G$10:$G$17),""))</f>
        <v/>
      </c>
      <c r="Z239" s="44" t="str">
        <f>IF(OR($P239="High",$P239="Low"),"",IF($P239="Mix",SUMIF('High_Low Voltage Mix Summary'!$B$10:$B$17,$B163,'High_Low Voltage Mix Summary'!$H$10:$H$17),""))</f>
        <v/>
      </c>
      <c r="AB239" s="49">
        <f>SUMIF('Antelope Bailey Split BA'!$B$7:$B$29,B239,'Antelope Bailey Split BA'!$C$7:$C$29)</f>
        <v>0</v>
      </c>
      <c r="AC239" s="49" t="str">
        <f>IF(AND(AB239=1,'Plant Total by Account'!$H$1=2),"EKWRA","")</f>
        <v/>
      </c>
    </row>
    <row r="240" spans="1:29" x14ac:dyDescent="0.2">
      <c r="A240" s="39" t="s">
        <v>2784</v>
      </c>
      <c r="B240" s="45" t="s">
        <v>337</v>
      </c>
      <c r="C240" s="40" t="s">
        <v>3334</v>
      </c>
      <c r="D240" s="53">
        <v>0</v>
      </c>
      <c r="E240" s="53">
        <v>80962.139999999985</v>
      </c>
      <c r="F240" s="53">
        <v>6365590.1599999992</v>
      </c>
      <c r="G240" s="578">
        <f t="shared" si="35"/>
        <v>6446552.2999999989</v>
      </c>
      <c r="H240" s="41"/>
      <c r="I240" s="41"/>
      <c r="J240" s="41"/>
      <c r="K240" s="41">
        <f t="shared" si="37"/>
        <v>0</v>
      </c>
      <c r="L240" s="41">
        <f t="shared" si="38"/>
        <v>80962.139999999985</v>
      </c>
      <c r="M240" s="41">
        <f t="shared" si="39"/>
        <v>6365590.1599999992</v>
      </c>
      <c r="N240" s="363">
        <f t="shared" si="36"/>
        <v>0</v>
      </c>
      <c r="O240" s="43" t="s">
        <v>3309</v>
      </c>
      <c r="P240" s="43"/>
      <c r="R240" s="41">
        <f t="shared" si="32"/>
        <v>0</v>
      </c>
      <c r="S240" s="41">
        <f t="shared" si="33"/>
        <v>0</v>
      </c>
      <c r="T240" s="41">
        <f t="shared" si="34"/>
        <v>0</v>
      </c>
      <c r="U240" s="41"/>
      <c r="V240" s="44" t="str">
        <f>IF($P240="High",$S240,IF($P240="Mix",SUMIF('High_Low Voltage Mix Summary'!$B$10:$B$17,$B164,'High_Low Voltage Mix Summary'!$D$10:$D$17),""))</f>
        <v/>
      </c>
      <c r="W240" s="44" t="str">
        <f>IF($P240="Low",$S240,IF($P240="Mix",SUMIF('High_Low Voltage Mix Summary'!$B$10:$B$17,$B164,'High_Low Voltage Mix Summary'!$E$10:$E$17),""))</f>
        <v/>
      </c>
      <c r="X240" s="44" t="str">
        <f>IF($P240="High",$T240,IF($P240="Mix",SUMIF('High_Low Voltage Mix Summary'!$B$10:$B$17,$B164,'High_Low Voltage Mix Summary'!$F$10:$F$17),""))</f>
        <v/>
      </c>
      <c r="Y240" s="44" t="str">
        <f>IF($P240="Low",$T240,IF($P240="Mix",SUMIF('High_Low Voltage Mix Summary'!$B$10:$B$17,$B164,'High_Low Voltage Mix Summary'!$G$10:$G$17),""))</f>
        <v/>
      </c>
      <c r="Z240" s="44" t="str">
        <f>IF(OR($P240="High",$P240="Low"),"",IF($P240="Mix",SUMIF('High_Low Voltage Mix Summary'!$B$10:$B$17,$B164,'High_Low Voltage Mix Summary'!$H$10:$H$17),""))</f>
        <v/>
      </c>
      <c r="AB240" s="49">
        <f>SUMIF('Antelope Bailey Split BA'!$B$7:$B$29,B240,'Antelope Bailey Split BA'!$C$7:$C$29)</f>
        <v>0</v>
      </c>
      <c r="AC240" s="49" t="str">
        <f>IF(AND(AB240=1,'Plant Total by Account'!$H$1=2),"EKWRA","")</f>
        <v/>
      </c>
    </row>
    <row r="241" spans="1:29" x14ac:dyDescent="0.2">
      <c r="A241" s="39" t="s">
        <v>2785</v>
      </c>
      <c r="B241" s="45" t="s">
        <v>338</v>
      </c>
      <c r="C241" s="40" t="s">
        <v>3334</v>
      </c>
      <c r="D241" s="53">
        <v>6306.66</v>
      </c>
      <c r="E241" s="53">
        <v>18519</v>
      </c>
      <c r="F241" s="53">
        <v>815058.23</v>
      </c>
      <c r="G241" s="578">
        <f t="shared" si="35"/>
        <v>839883.89</v>
      </c>
      <c r="H241" s="41"/>
      <c r="I241" s="41"/>
      <c r="J241" s="41"/>
      <c r="K241" s="41">
        <f t="shared" si="37"/>
        <v>6306.66</v>
      </c>
      <c r="L241" s="41">
        <f t="shared" si="38"/>
        <v>18519</v>
      </c>
      <c r="M241" s="41">
        <f t="shared" si="39"/>
        <v>815058.23</v>
      </c>
      <c r="N241" s="363">
        <f t="shared" si="36"/>
        <v>0</v>
      </c>
      <c r="O241" s="43" t="s">
        <v>3309</v>
      </c>
      <c r="P241" s="43"/>
      <c r="R241" s="41">
        <f t="shared" si="32"/>
        <v>0</v>
      </c>
      <c r="S241" s="41">
        <f t="shared" si="33"/>
        <v>0</v>
      </c>
      <c r="T241" s="41">
        <f t="shared" si="34"/>
        <v>0</v>
      </c>
      <c r="U241" s="41"/>
      <c r="V241" s="44" t="str">
        <f>IF($P241="High",$S241,IF($P241="Mix",SUMIF('High_Low Voltage Mix Summary'!$B$10:$B$17,$B165,'High_Low Voltage Mix Summary'!$D$10:$D$17),""))</f>
        <v/>
      </c>
      <c r="W241" s="44" t="str">
        <f>IF($P241="Low",$S241,IF($P241="Mix",SUMIF('High_Low Voltage Mix Summary'!$B$10:$B$17,$B165,'High_Low Voltage Mix Summary'!$E$10:$E$17),""))</f>
        <v/>
      </c>
      <c r="X241" s="44" t="str">
        <f>IF($P241="High",$T241,IF($P241="Mix",SUMIF('High_Low Voltage Mix Summary'!$B$10:$B$17,$B165,'High_Low Voltage Mix Summary'!$F$10:$F$17),""))</f>
        <v/>
      </c>
      <c r="Y241" s="44" t="str">
        <f>IF($P241="Low",$T241,IF($P241="Mix",SUMIF('High_Low Voltage Mix Summary'!$B$10:$B$17,$B165,'High_Low Voltage Mix Summary'!$G$10:$G$17),""))</f>
        <v/>
      </c>
      <c r="Z241" s="44" t="str">
        <f>IF(OR($P241="High",$P241="Low"),"",IF($P241="Mix",SUMIF('High_Low Voltage Mix Summary'!$B$10:$B$17,$B165,'High_Low Voltage Mix Summary'!$H$10:$H$17),""))</f>
        <v/>
      </c>
      <c r="AB241" s="49">
        <f>SUMIF('Antelope Bailey Split BA'!$B$7:$B$29,B241,'Antelope Bailey Split BA'!$C$7:$C$29)</f>
        <v>0</v>
      </c>
      <c r="AC241" s="49" t="str">
        <f>IF(AND(AB241=1,'Plant Total by Account'!$H$1=2),"EKWRA","")</f>
        <v/>
      </c>
    </row>
    <row r="242" spans="1:29" x14ac:dyDescent="0.2">
      <c r="A242" s="39" t="s">
        <v>2786</v>
      </c>
      <c r="B242" s="45" t="s">
        <v>339</v>
      </c>
      <c r="C242" s="40"/>
      <c r="D242" s="53">
        <v>13452.78</v>
      </c>
      <c r="E242" s="53">
        <v>14674.130000000001</v>
      </c>
      <c r="F242" s="53">
        <v>586074.67000000016</v>
      </c>
      <c r="G242" s="578">
        <f t="shared" si="35"/>
        <v>614201.58000000019</v>
      </c>
      <c r="H242" s="41"/>
      <c r="I242" s="41"/>
      <c r="J242" s="41"/>
      <c r="K242" s="41">
        <f t="shared" si="37"/>
        <v>13452.78</v>
      </c>
      <c r="L242" s="41">
        <f t="shared" si="38"/>
        <v>14674.130000000001</v>
      </c>
      <c r="M242" s="41">
        <f t="shared" si="39"/>
        <v>586074.67000000016</v>
      </c>
      <c r="N242" s="363">
        <f t="shared" si="36"/>
        <v>0</v>
      </c>
      <c r="O242" s="43" t="s">
        <v>3309</v>
      </c>
      <c r="P242" s="43"/>
      <c r="R242" s="41">
        <f t="shared" si="32"/>
        <v>0</v>
      </c>
      <c r="S242" s="41">
        <f t="shared" si="33"/>
        <v>0</v>
      </c>
      <c r="T242" s="41">
        <f t="shared" si="34"/>
        <v>0</v>
      </c>
      <c r="U242" s="41"/>
      <c r="V242" s="44" t="str">
        <f>IF($P242="High",$S242,IF($P242="Mix",SUMIF('High_Low Voltage Mix Summary'!$B$10:$B$17,$B166,'High_Low Voltage Mix Summary'!$D$10:$D$17),""))</f>
        <v/>
      </c>
      <c r="W242" s="44" t="str">
        <f>IF($P242="Low",$S242,IF($P242="Mix",SUMIF('High_Low Voltage Mix Summary'!$B$10:$B$17,$B166,'High_Low Voltage Mix Summary'!$E$10:$E$17),""))</f>
        <v/>
      </c>
      <c r="X242" s="44" t="str">
        <f>IF($P242="High",$T242,IF($P242="Mix",SUMIF('High_Low Voltage Mix Summary'!$B$10:$B$17,$B166,'High_Low Voltage Mix Summary'!$F$10:$F$17),""))</f>
        <v/>
      </c>
      <c r="Y242" s="44" t="str">
        <f>IF($P242="Low",$T242,IF($P242="Mix",SUMIF('High_Low Voltage Mix Summary'!$B$10:$B$17,$B166,'High_Low Voltage Mix Summary'!$G$10:$G$17),""))</f>
        <v/>
      </c>
      <c r="Z242" s="44" t="str">
        <f>IF(OR($P242="High",$P242="Low"),"",IF($P242="Mix",SUMIF('High_Low Voltage Mix Summary'!$B$10:$B$17,$B166,'High_Low Voltage Mix Summary'!$H$10:$H$17),""))</f>
        <v/>
      </c>
      <c r="AB242" s="49">
        <f>SUMIF('Antelope Bailey Split BA'!$B$7:$B$29,B242,'Antelope Bailey Split BA'!$C$7:$C$29)</f>
        <v>0</v>
      </c>
      <c r="AC242" s="49" t="str">
        <f>IF(AND(AB242=1,'Plant Total by Account'!$H$1=2),"EKWRA","")</f>
        <v/>
      </c>
    </row>
    <row r="243" spans="1:29" x14ac:dyDescent="0.2">
      <c r="A243" s="39" t="s">
        <v>2787</v>
      </c>
      <c r="B243" s="45" t="s">
        <v>340</v>
      </c>
      <c r="C243" s="40" t="s">
        <v>3334</v>
      </c>
      <c r="D243" s="53">
        <v>37269.96</v>
      </c>
      <c r="E243" s="53">
        <v>37097.65</v>
      </c>
      <c r="F243" s="53">
        <v>535710.17000000004</v>
      </c>
      <c r="G243" s="578">
        <f t="shared" si="35"/>
        <v>610077.78</v>
      </c>
      <c r="H243" s="41"/>
      <c r="I243" s="41"/>
      <c r="J243" s="41"/>
      <c r="K243" s="41">
        <f t="shared" si="37"/>
        <v>37269.96</v>
      </c>
      <c r="L243" s="41">
        <f t="shared" si="38"/>
        <v>37097.65</v>
      </c>
      <c r="M243" s="41">
        <f t="shared" si="39"/>
        <v>535710.17000000004</v>
      </c>
      <c r="N243" s="363">
        <f t="shared" si="36"/>
        <v>0</v>
      </c>
      <c r="O243" s="43" t="s">
        <v>3309</v>
      </c>
      <c r="P243" s="43"/>
      <c r="R243" s="41">
        <f t="shared" si="32"/>
        <v>0</v>
      </c>
      <c r="S243" s="41">
        <f t="shared" si="33"/>
        <v>0</v>
      </c>
      <c r="T243" s="41">
        <f t="shared" si="34"/>
        <v>0</v>
      </c>
      <c r="U243" s="41"/>
      <c r="V243" s="44" t="str">
        <f>IF($P243="High",$S243,IF($P243="Mix",SUMIF('High_Low Voltage Mix Summary'!$B$10:$B$17,$B563,'High_Low Voltage Mix Summary'!$D$10:$D$17),""))</f>
        <v/>
      </c>
      <c r="W243" s="44" t="str">
        <f>IF($P243="Low",$S243,IF($P243="Mix",SUMIF('High_Low Voltage Mix Summary'!$B$10:$B$17,$B563,'High_Low Voltage Mix Summary'!$E$10:$E$17),""))</f>
        <v/>
      </c>
      <c r="X243" s="44" t="str">
        <f>IF($P243="High",$T243,IF($P243="Mix",SUMIF('High_Low Voltage Mix Summary'!$B$10:$B$17,$B563,'High_Low Voltage Mix Summary'!$F$10:$F$17),""))</f>
        <v/>
      </c>
      <c r="Y243" s="44" t="str">
        <f>IF($P243="Low",$T243,IF($P243="Mix",SUMIF('High_Low Voltage Mix Summary'!$B$10:$B$17,$B563,'High_Low Voltage Mix Summary'!$G$10:$G$17),""))</f>
        <v/>
      </c>
      <c r="Z243" s="44" t="str">
        <f>IF(OR($P243="High",$P243="Low"),"",IF($P243="Mix",SUMIF('High_Low Voltage Mix Summary'!$B$10:$B$17,$B563,'High_Low Voltage Mix Summary'!$H$10:$H$17),""))</f>
        <v/>
      </c>
      <c r="AB243" s="49">
        <f>SUMIF('Antelope Bailey Split BA'!$B$7:$B$29,B243,'Antelope Bailey Split BA'!$C$7:$C$29)</f>
        <v>0</v>
      </c>
      <c r="AC243" s="49" t="str">
        <f>IF(AND(AB243=1,'Plant Total by Account'!$H$1=2),"EKWRA","")</f>
        <v/>
      </c>
    </row>
    <row r="244" spans="1:29" x14ac:dyDescent="0.2">
      <c r="A244" s="39" t="s">
        <v>2788</v>
      </c>
      <c r="B244" s="45" t="s">
        <v>341</v>
      </c>
      <c r="C244" s="40" t="s">
        <v>3334</v>
      </c>
      <c r="D244" s="53">
        <v>0</v>
      </c>
      <c r="E244" s="53">
        <v>30820.73</v>
      </c>
      <c r="F244" s="53">
        <v>461399.01999999996</v>
      </c>
      <c r="G244" s="578">
        <f t="shared" si="35"/>
        <v>492219.74999999994</v>
      </c>
      <c r="H244" s="41"/>
      <c r="I244" s="41"/>
      <c r="J244" s="41"/>
      <c r="K244" s="41">
        <f t="shared" si="37"/>
        <v>0</v>
      </c>
      <c r="L244" s="41">
        <f t="shared" si="38"/>
        <v>30820.73</v>
      </c>
      <c r="M244" s="41">
        <f t="shared" si="39"/>
        <v>461399.01999999996</v>
      </c>
      <c r="N244" s="363">
        <f t="shared" si="36"/>
        <v>0</v>
      </c>
      <c r="O244" s="43" t="s">
        <v>3309</v>
      </c>
      <c r="P244" s="43"/>
      <c r="R244" s="41">
        <f t="shared" si="32"/>
        <v>0</v>
      </c>
      <c r="S244" s="41">
        <f t="shared" si="33"/>
        <v>0</v>
      </c>
      <c r="T244" s="41">
        <f t="shared" si="34"/>
        <v>0</v>
      </c>
      <c r="U244" s="41"/>
      <c r="V244" s="44" t="str">
        <f>IF($P244="High",$S244,IF($P244="Mix",SUMIF('High_Low Voltage Mix Summary'!$B$10:$B$17,$B167,'High_Low Voltage Mix Summary'!$D$10:$D$17),""))</f>
        <v/>
      </c>
      <c r="W244" s="44" t="str">
        <f>IF($P244="Low",$S244,IF($P244="Mix",SUMIF('High_Low Voltage Mix Summary'!$B$10:$B$17,$B167,'High_Low Voltage Mix Summary'!$E$10:$E$17),""))</f>
        <v/>
      </c>
      <c r="X244" s="44" t="str">
        <f>IF($P244="High",$T244,IF($P244="Mix",SUMIF('High_Low Voltage Mix Summary'!$B$10:$B$17,$B167,'High_Low Voltage Mix Summary'!$F$10:$F$17),""))</f>
        <v/>
      </c>
      <c r="Y244" s="44" t="str">
        <f>IF($P244="Low",$T244,IF($P244="Mix",SUMIF('High_Low Voltage Mix Summary'!$B$10:$B$17,$B167,'High_Low Voltage Mix Summary'!$G$10:$G$17),""))</f>
        <v/>
      </c>
      <c r="Z244" s="44" t="str">
        <f>IF(OR($P244="High",$P244="Low"),"",IF($P244="Mix",SUMIF('High_Low Voltage Mix Summary'!$B$10:$B$17,$B167,'High_Low Voltage Mix Summary'!$H$10:$H$17),""))</f>
        <v/>
      </c>
      <c r="AB244" s="49">
        <f>SUMIF('Antelope Bailey Split BA'!$B$7:$B$29,B244,'Antelope Bailey Split BA'!$C$7:$C$29)</f>
        <v>0</v>
      </c>
      <c r="AC244" s="49" t="str">
        <f>IF(AND(AB244=1,'Plant Total by Account'!$H$1=2),"EKWRA","")</f>
        <v/>
      </c>
    </row>
    <row r="245" spans="1:29" x14ac:dyDescent="0.2">
      <c r="A245" s="39" t="s">
        <v>2789</v>
      </c>
      <c r="B245" s="45" t="s">
        <v>342</v>
      </c>
      <c r="C245" s="40" t="s">
        <v>3334</v>
      </c>
      <c r="D245" s="53">
        <v>0</v>
      </c>
      <c r="E245" s="53">
        <v>0</v>
      </c>
      <c r="F245" s="53">
        <v>289179.46000000002</v>
      </c>
      <c r="G245" s="578">
        <f t="shared" si="35"/>
        <v>289179.46000000002</v>
      </c>
      <c r="H245" s="41"/>
      <c r="I245" s="41"/>
      <c r="J245" s="41"/>
      <c r="K245" s="41">
        <f t="shared" si="37"/>
        <v>0</v>
      </c>
      <c r="L245" s="41">
        <f t="shared" si="38"/>
        <v>0</v>
      </c>
      <c r="M245" s="41">
        <f t="shared" si="39"/>
        <v>289179.46000000002</v>
      </c>
      <c r="N245" s="363">
        <f t="shared" si="36"/>
        <v>0</v>
      </c>
      <c r="O245" s="43" t="s">
        <v>3309</v>
      </c>
      <c r="P245" s="43"/>
      <c r="R245" s="41">
        <f t="shared" si="32"/>
        <v>0</v>
      </c>
      <c r="S245" s="41">
        <f t="shared" si="33"/>
        <v>0</v>
      </c>
      <c r="T245" s="41">
        <f t="shared" si="34"/>
        <v>0</v>
      </c>
      <c r="U245" s="41"/>
      <c r="V245" s="44" t="str">
        <f>IF($P245="High",$S245,IF($P245="Mix",SUMIF('High_Low Voltage Mix Summary'!$B$10:$B$17,$B168,'High_Low Voltage Mix Summary'!$D$10:$D$17),""))</f>
        <v/>
      </c>
      <c r="W245" s="44" t="str">
        <f>IF($P245="Low",$S245,IF($P245="Mix",SUMIF('High_Low Voltage Mix Summary'!$B$10:$B$17,$B168,'High_Low Voltage Mix Summary'!$E$10:$E$17),""))</f>
        <v/>
      </c>
      <c r="X245" s="44" t="str">
        <f>IF($P245="High",$T245,IF($P245="Mix",SUMIF('High_Low Voltage Mix Summary'!$B$10:$B$17,$B168,'High_Low Voltage Mix Summary'!$F$10:$F$17),""))</f>
        <v/>
      </c>
      <c r="Y245" s="44" t="str">
        <f>IF($P245="Low",$T245,IF($P245="Mix",SUMIF('High_Low Voltage Mix Summary'!$B$10:$B$17,$B168,'High_Low Voltage Mix Summary'!$G$10:$G$17),""))</f>
        <v/>
      </c>
      <c r="Z245" s="44" t="str">
        <f>IF(OR($P245="High",$P245="Low"),"",IF($P245="Mix",SUMIF('High_Low Voltage Mix Summary'!$B$10:$B$17,$B168,'High_Low Voltage Mix Summary'!$H$10:$H$17),""))</f>
        <v/>
      </c>
      <c r="AB245" s="49">
        <f>SUMIF('Antelope Bailey Split BA'!$B$7:$B$29,B245,'Antelope Bailey Split BA'!$C$7:$C$29)</f>
        <v>0</v>
      </c>
      <c r="AC245" s="49" t="str">
        <f>IF(AND(AB245=1,'Plant Total by Account'!$H$1=2),"EKWRA","")</f>
        <v/>
      </c>
    </row>
    <row r="246" spans="1:29" x14ac:dyDescent="0.2">
      <c r="A246" s="39" t="s">
        <v>2790</v>
      </c>
      <c r="B246" s="45" t="s">
        <v>343</v>
      </c>
      <c r="C246" s="40" t="s">
        <v>3334</v>
      </c>
      <c r="D246" s="53">
        <v>0</v>
      </c>
      <c r="E246" s="53">
        <v>14979.880000000001</v>
      </c>
      <c r="F246" s="53">
        <v>450803.35000000003</v>
      </c>
      <c r="G246" s="578">
        <f t="shared" si="35"/>
        <v>465783.23000000004</v>
      </c>
      <c r="H246" s="41"/>
      <c r="I246" s="41"/>
      <c r="J246" s="41"/>
      <c r="K246" s="41">
        <f t="shared" si="37"/>
        <v>0</v>
      </c>
      <c r="L246" s="41">
        <f t="shared" si="38"/>
        <v>14979.880000000001</v>
      </c>
      <c r="M246" s="41">
        <f t="shared" si="39"/>
        <v>450803.35000000003</v>
      </c>
      <c r="N246" s="363">
        <f t="shared" si="36"/>
        <v>0</v>
      </c>
      <c r="O246" s="43" t="s">
        <v>3309</v>
      </c>
      <c r="P246" s="43"/>
      <c r="R246" s="41">
        <f t="shared" si="32"/>
        <v>0</v>
      </c>
      <c r="S246" s="41">
        <f t="shared" si="33"/>
        <v>0</v>
      </c>
      <c r="T246" s="41">
        <f t="shared" si="34"/>
        <v>0</v>
      </c>
      <c r="U246" s="41"/>
      <c r="V246" s="44" t="str">
        <f>IF($P246="High",$S246,IF($P246="Mix",SUMIF('High_Low Voltage Mix Summary'!$B$10:$B$17,$B169,'High_Low Voltage Mix Summary'!$D$10:$D$17),""))</f>
        <v/>
      </c>
      <c r="W246" s="44" t="str">
        <f>IF($P246="Low",$S246,IF($P246="Mix",SUMIF('High_Low Voltage Mix Summary'!$B$10:$B$17,$B169,'High_Low Voltage Mix Summary'!$E$10:$E$17),""))</f>
        <v/>
      </c>
      <c r="X246" s="44" t="str">
        <f>IF($P246="High",$T246,IF($P246="Mix",SUMIF('High_Low Voltage Mix Summary'!$B$10:$B$17,$B169,'High_Low Voltage Mix Summary'!$F$10:$F$17),""))</f>
        <v/>
      </c>
      <c r="Y246" s="44" t="str">
        <f>IF($P246="Low",$T246,IF($P246="Mix",SUMIF('High_Low Voltage Mix Summary'!$B$10:$B$17,$B169,'High_Low Voltage Mix Summary'!$G$10:$G$17),""))</f>
        <v/>
      </c>
      <c r="Z246" s="44" t="str">
        <f>IF(OR($P246="High",$P246="Low"),"",IF($P246="Mix",SUMIF('High_Low Voltage Mix Summary'!$B$10:$B$17,$B169,'High_Low Voltage Mix Summary'!$H$10:$H$17),""))</f>
        <v/>
      </c>
      <c r="AB246" s="49">
        <f>SUMIF('Antelope Bailey Split BA'!$B$7:$B$29,B246,'Antelope Bailey Split BA'!$C$7:$C$29)</f>
        <v>0</v>
      </c>
      <c r="AC246" s="49" t="str">
        <f>IF(AND(AB246=1,'Plant Total by Account'!$H$1=2),"EKWRA","")</f>
        <v/>
      </c>
    </row>
    <row r="247" spans="1:29" x14ac:dyDescent="0.2">
      <c r="A247" s="39" t="s">
        <v>2791</v>
      </c>
      <c r="B247" s="45" t="s">
        <v>344</v>
      </c>
      <c r="C247" s="40" t="s">
        <v>3334</v>
      </c>
      <c r="D247" s="53">
        <v>0</v>
      </c>
      <c r="E247" s="53">
        <v>2755.73</v>
      </c>
      <c r="F247" s="53">
        <v>699220.49000000011</v>
      </c>
      <c r="G247" s="578">
        <f t="shared" si="35"/>
        <v>701976.22000000009</v>
      </c>
      <c r="H247" s="41"/>
      <c r="I247" s="41"/>
      <c r="J247" s="41"/>
      <c r="K247" s="41">
        <f t="shared" si="37"/>
        <v>0</v>
      </c>
      <c r="L247" s="41">
        <f t="shared" si="38"/>
        <v>2755.73</v>
      </c>
      <c r="M247" s="41">
        <f t="shared" si="39"/>
        <v>699220.49000000011</v>
      </c>
      <c r="N247" s="363">
        <f t="shared" si="36"/>
        <v>0</v>
      </c>
      <c r="O247" s="43" t="s">
        <v>3309</v>
      </c>
      <c r="P247" s="43"/>
      <c r="R247" s="41">
        <f t="shared" si="32"/>
        <v>0</v>
      </c>
      <c r="S247" s="41">
        <f t="shared" si="33"/>
        <v>0</v>
      </c>
      <c r="T247" s="41">
        <f t="shared" si="34"/>
        <v>0</v>
      </c>
      <c r="U247" s="41"/>
      <c r="V247" s="44" t="str">
        <f>IF($P247="High",$S247,IF($P247="Mix",SUMIF('High_Low Voltage Mix Summary'!$B$10:$B$17,$B170,'High_Low Voltage Mix Summary'!$D$10:$D$17),""))</f>
        <v/>
      </c>
      <c r="W247" s="44" t="str">
        <f>IF($P247="Low",$S247,IF($P247="Mix",SUMIF('High_Low Voltage Mix Summary'!$B$10:$B$17,$B170,'High_Low Voltage Mix Summary'!$E$10:$E$17),""))</f>
        <v/>
      </c>
      <c r="X247" s="44" t="str">
        <f>IF($P247="High",$T247,IF($P247="Mix",SUMIF('High_Low Voltage Mix Summary'!$B$10:$B$17,$B170,'High_Low Voltage Mix Summary'!$F$10:$F$17),""))</f>
        <v/>
      </c>
      <c r="Y247" s="44" t="str">
        <f>IF($P247="Low",$T247,IF($P247="Mix",SUMIF('High_Low Voltage Mix Summary'!$B$10:$B$17,$B170,'High_Low Voltage Mix Summary'!$G$10:$G$17),""))</f>
        <v/>
      </c>
      <c r="Z247" s="44" t="str">
        <f>IF(OR($P247="High",$P247="Low"),"",IF($P247="Mix",SUMIF('High_Low Voltage Mix Summary'!$B$10:$B$17,$B170,'High_Low Voltage Mix Summary'!$H$10:$H$17),""))</f>
        <v/>
      </c>
      <c r="AB247" s="49">
        <f>SUMIF('Antelope Bailey Split BA'!$B$7:$B$29,B247,'Antelope Bailey Split BA'!$C$7:$C$29)</f>
        <v>0</v>
      </c>
      <c r="AC247" s="49" t="str">
        <f>IF(AND(AB247=1,'Plant Total by Account'!$H$1=2),"EKWRA","")</f>
        <v/>
      </c>
    </row>
    <row r="248" spans="1:29" x14ac:dyDescent="0.2">
      <c r="A248" s="39" t="s">
        <v>2792</v>
      </c>
      <c r="B248" s="45" t="s">
        <v>345</v>
      </c>
      <c r="C248" s="40" t="s">
        <v>3334</v>
      </c>
      <c r="D248" s="53">
        <v>0</v>
      </c>
      <c r="E248" s="53">
        <v>39508.25</v>
      </c>
      <c r="F248" s="53">
        <v>455559.36999999994</v>
      </c>
      <c r="G248" s="578">
        <f t="shared" si="35"/>
        <v>495067.61999999994</v>
      </c>
      <c r="H248" s="41"/>
      <c r="I248" s="41"/>
      <c r="J248" s="41"/>
      <c r="K248" s="41">
        <f t="shared" si="37"/>
        <v>0</v>
      </c>
      <c r="L248" s="41">
        <f t="shared" si="38"/>
        <v>39508.25</v>
      </c>
      <c r="M248" s="41">
        <f t="shared" si="39"/>
        <v>455559.36999999994</v>
      </c>
      <c r="N248" s="363">
        <f t="shared" si="36"/>
        <v>0</v>
      </c>
      <c r="O248" s="43" t="s">
        <v>3309</v>
      </c>
      <c r="P248" s="43"/>
      <c r="R248" s="41">
        <f t="shared" si="32"/>
        <v>0</v>
      </c>
      <c r="S248" s="41">
        <f t="shared" si="33"/>
        <v>0</v>
      </c>
      <c r="T248" s="41">
        <f t="shared" si="34"/>
        <v>0</v>
      </c>
      <c r="U248" s="41"/>
      <c r="V248" s="44" t="str">
        <f>IF($P248="High",$S248,IF($P248="Mix",SUMIF('High_Low Voltage Mix Summary'!$B$10:$B$17,$B171,'High_Low Voltage Mix Summary'!$D$10:$D$17),""))</f>
        <v/>
      </c>
      <c r="W248" s="44" t="str">
        <f>IF($P248="Low",$S248,IF($P248="Mix",SUMIF('High_Low Voltage Mix Summary'!$B$10:$B$17,$B171,'High_Low Voltage Mix Summary'!$E$10:$E$17),""))</f>
        <v/>
      </c>
      <c r="X248" s="44" t="str">
        <f>IF($P248="High",$T248,IF($P248="Mix",SUMIF('High_Low Voltage Mix Summary'!$B$10:$B$17,$B171,'High_Low Voltage Mix Summary'!$F$10:$F$17),""))</f>
        <v/>
      </c>
      <c r="Y248" s="44" t="str">
        <f>IF($P248="Low",$T248,IF($P248="Mix",SUMIF('High_Low Voltage Mix Summary'!$B$10:$B$17,$B171,'High_Low Voltage Mix Summary'!$G$10:$G$17),""))</f>
        <v/>
      </c>
      <c r="Z248" s="44" t="str">
        <f>IF(OR($P248="High",$P248="Low"),"",IF($P248="Mix",SUMIF('High_Low Voltage Mix Summary'!$B$10:$B$17,$B171,'High_Low Voltage Mix Summary'!$H$10:$H$17),""))</f>
        <v/>
      </c>
      <c r="AB248" s="49">
        <f>SUMIF('Antelope Bailey Split BA'!$B$7:$B$29,B248,'Antelope Bailey Split BA'!$C$7:$C$29)</f>
        <v>0</v>
      </c>
      <c r="AC248" s="49" t="str">
        <f>IF(AND(AB248=1,'Plant Total by Account'!$H$1=2),"EKWRA","")</f>
        <v/>
      </c>
    </row>
    <row r="249" spans="1:29" x14ac:dyDescent="0.2">
      <c r="A249" s="39" t="s">
        <v>2793</v>
      </c>
      <c r="B249" s="45" t="s">
        <v>346</v>
      </c>
      <c r="C249" s="40" t="s">
        <v>3334</v>
      </c>
      <c r="D249" s="53">
        <v>0</v>
      </c>
      <c r="E249" s="53">
        <v>11463.86</v>
      </c>
      <c r="F249" s="53">
        <v>1007839.6800000003</v>
      </c>
      <c r="G249" s="578">
        <f t="shared" si="35"/>
        <v>1019303.5400000003</v>
      </c>
      <c r="H249" s="41"/>
      <c r="I249" s="41"/>
      <c r="J249" s="41"/>
      <c r="K249" s="41">
        <f t="shared" si="37"/>
        <v>0</v>
      </c>
      <c r="L249" s="41">
        <f t="shared" si="38"/>
        <v>11463.86</v>
      </c>
      <c r="M249" s="41">
        <f t="shared" si="39"/>
        <v>1007839.6800000003</v>
      </c>
      <c r="N249" s="363">
        <f t="shared" si="36"/>
        <v>0</v>
      </c>
      <c r="O249" s="43" t="s">
        <v>3309</v>
      </c>
      <c r="P249" s="43"/>
      <c r="R249" s="41">
        <f t="shared" si="32"/>
        <v>0</v>
      </c>
      <c r="S249" s="41">
        <f t="shared" si="33"/>
        <v>0</v>
      </c>
      <c r="T249" s="41">
        <f t="shared" si="34"/>
        <v>0</v>
      </c>
      <c r="U249" s="41"/>
      <c r="V249" s="44" t="str">
        <f>IF($P249="High",$S249,IF($P249="Mix",SUMIF('High_Low Voltage Mix Summary'!$B$10:$B$17,$B172,'High_Low Voltage Mix Summary'!$D$10:$D$17),""))</f>
        <v/>
      </c>
      <c r="W249" s="44" t="str">
        <f>IF($P249="Low",$S249,IF($P249="Mix",SUMIF('High_Low Voltage Mix Summary'!$B$10:$B$17,$B172,'High_Low Voltage Mix Summary'!$E$10:$E$17),""))</f>
        <v/>
      </c>
      <c r="X249" s="44" t="str">
        <f>IF($P249="High",$T249,IF($P249="Mix",SUMIF('High_Low Voltage Mix Summary'!$B$10:$B$17,$B172,'High_Low Voltage Mix Summary'!$F$10:$F$17),""))</f>
        <v/>
      </c>
      <c r="Y249" s="44" t="str">
        <f>IF($P249="Low",$T249,IF($P249="Mix",SUMIF('High_Low Voltage Mix Summary'!$B$10:$B$17,$B172,'High_Low Voltage Mix Summary'!$G$10:$G$17),""))</f>
        <v/>
      </c>
      <c r="Z249" s="44" t="str">
        <f>IF(OR($P249="High",$P249="Low"),"",IF($P249="Mix",SUMIF('High_Low Voltage Mix Summary'!$B$10:$B$17,$B172,'High_Low Voltage Mix Summary'!$H$10:$H$17),""))</f>
        <v/>
      </c>
      <c r="AB249" s="49">
        <f>SUMIF('Antelope Bailey Split BA'!$B$7:$B$29,B249,'Antelope Bailey Split BA'!$C$7:$C$29)</f>
        <v>0</v>
      </c>
      <c r="AC249" s="49" t="str">
        <f>IF(AND(AB249=1,'Plant Total by Account'!$H$1=2),"EKWRA","")</f>
        <v/>
      </c>
    </row>
    <row r="250" spans="1:29" x14ac:dyDescent="0.2">
      <c r="A250" s="39" t="s">
        <v>2794</v>
      </c>
      <c r="B250" s="45" t="s">
        <v>347</v>
      </c>
      <c r="C250" s="40" t="s">
        <v>3334</v>
      </c>
      <c r="D250" s="53">
        <v>0</v>
      </c>
      <c r="E250" s="53">
        <v>43270.93</v>
      </c>
      <c r="F250" s="53">
        <v>2038678.3699999999</v>
      </c>
      <c r="G250" s="578">
        <f t="shared" si="35"/>
        <v>2081949.2999999998</v>
      </c>
      <c r="H250" s="41"/>
      <c r="I250" s="41"/>
      <c r="J250" s="41"/>
      <c r="K250" s="41">
        <f t="shared" si="37"/>
        <v>0</v>
      </c>
      <c r="L250" s="41">
        <f t="shared" si="38"/>
        <v>43270.93</v>
      </c>
      <c r="M250" s="41">
        <f t="shared" si="39"/>
        <v>2038678.3699999999</v>
      </c>
      <c r="N250" s="363">
        <f t="shared" si="36"/>
        <v>0</v>
      </c>
      <c r="O250" s="43" t="s">
        <v>3309</v>
      </c>
      <c r="P250" s="43"/>
      <c r="R250" s="41">
        <f t="shared" si="32"/>
        <v>0</v>
      </c>
      <c r="S250" s="41">
        <f t="shared" si="33"/>
        <v>0</v>
      </c>
      <c r="T250" s="41">
        <f t="shared" si="34"/>
        <v>0</v>
      </c>
      <c r="U250" s="41"/>
      <c r="V250" s="44" t="str">
        <f>IF($P250="High",$S250,IF($P250="Mix",SUMIF('High_Low Voltage Mix Summary'!$B$10:$B$17,$B173,'High_Low Voltage Mix Summary'!$D$10:$D$17),""))</f>
        <v/>
      </c>
      <c r="W250" s="44" t="str">
        <f>IF($P250="Low",$S250,IF($P250="Mix",SUMIF('High_Low Voltage Mix Summary'!$B$10:$B$17,$B173,'High_Low Voltage Mix Summary'!$E$10:$E$17),""))</f>
        <v/>
      </c>
      <c r="X250" s="44" t="str">
        <f>IF($P250="High",$T250,IF($P250="Mix",SUMIF('High_Low Voltage Mix Summary'!$B$10:$B$17,$B173,'High_Low Voltage Mix Summary'!$F$10:$F$17),""))</f>
        <v/>
      </c>
      <c r="Y250" s="44" t="str">
        <f>IF($P250="Low",$T250,IF($P250="Mix",SUMIF('High_Low Voltage Mix Summary'!$B$10:$B$17,$B173,'High_Low Voltage Mix Summary'!$G$10:$G$17),""))</f>
        <v/>
      </c>
      <c r="Z250" s="44" t="str">
        <f>IF(OR($P250="High",$P250="Low"),"",IF($P250="Mix",SUMIF('High_Low Voltage Mix Summary'!$B$10:$B$17,$B173,'High_Low Voltage Mix Summary'!$H$10:$H$17),""))</f>
        <v/>
      </c>
      <c r="AB250" s="49">
        <f>SUMIF('Antelope Bailey Split BA'!$B$7:$B$29,B250,'Antelope Bailey Split BA'!$C$7:$C$29)</f>
        <v>0</v>
      </c>
      <c r="AC250" s="49" t="str">
        <f>IF(AND(AB250=1,'Plant Total by Account'!$H$1=2),"EKWRA","")</f>
        <v/>
      </c>
    </row>
    <row r="251" spans="1:29" x14ac:dyDescent="0.2">
      <c r="A251" s="39" t="s">
        <v>2795</v>
      </c>
      <c r="B251" s="45" t="s">
        <v>348</v>
      </c>
      <c r="C251" s="40" t="s">
        <v>3334</v>
      </c>
      <c r="D251" s="53">
        <v>0</v>
      </c>
      <c r="E251" s="53">
        <v>0</v>
      </c>
      <c r="F251" s="53">
        <v>57526.04</v>
      </c>
      <c r="G251" s="578">
        <f t="shared" si="35"/>
        <v>57526.04</v>
      </c>
      <c r="H251" s="41"/>
      <c r="I251" s="41"/>
      <c r="J251" s="41"/>
      <c r="K251" s="41">
        <f t="shared" si="37"/>
        <v>0</v>
      </c>
      <c r="L251" s="41">
        <f t="shared" si="38"/>
        <v>0</v>
      </c>
      <c r="M251" s="41">
        <f t="shared" si="39"/>
        <v>57526.04</v>
      </c>
      <c r="N251" s="363">
        <f t="shared" si="36"/>
        <v>0</v>
      </c>
      <c r="O251" s="43" t="s">
        <v>3309</v>
      </c>
      <c r="P251" s="43"/>
      <c r="R251" s="41">
        <f t="shared" si="32"/>
        <v>0</v>
      </c>
      <c r="S251" s="41">
        <f t="shared" si="33"/>
        <v>0</v>
      </c>
      <c r="T251" s="41">
        <f t="shared" si="34"/>
        <v>0</v>
      </c>
      <c r="U251" s="41"/>
      <c r="V251" s="44" t="str">
        <f>IF($P251="High",$S251,IF($P251="Mix",SUMIF('High_Low Voltage Mix Summary'!$B$10:$B$17,$B174,'High_Low Voltage Mix Summary'!$D$10:$D$17),""))</f>
        <v/>
      </c>
      <c r="W251" s="44" t="str">
        <f>IF($P251="Low",$S251,IF($P251="Mix",SUMIF('High_Low Voltage Mix Summary'!$B$10:$B$17,$B174,'High_Low Voltage Mix Summary'!$E$10:$E$17),""))</f>
        <v/>
      </c>
      <c r="X251" s="44" t="str">
        <f>IF($P251="High",$T251,IF($P251="Mix",SUMIF('High_Low Voltage Mix Summary'!$B$10:$B$17,$B174,'High_Low Voltage Mix Summary'!$F$10:$F$17),""))</f>
        <v/>
      </c>
      <c r="Y251" s="44" t="str">
        <f>IF($P251="Low",$T251,IF($P251="Mix",SUMIF('High_Low Voltage Mix Summary'!$B$10:$B$17,$B174,'High_Low Voltage Mix Summary'!$G$10:$G$17),""))</f>
        <v/>
      </c>
      <c r="Z251" s="44" t="str">
        <f>IF(OR($P251="High",$P251="Low"),"",IF($P251="Mix",SUMIF('High_Low Voltage Mix Summary'!$B$10:$B$17,$B174,'High_Low Voltage Mix Summary'!$H$10:$H$17),""))</f>
        <v/>
      </c>
      <c r="AB251" s="49">
        <f>SUMIF('Antelope Bailey Split BA'!$B$7:$B$29,B251,'Antelope Bailey Split BA'!$C$7:$C$29)</f>
        <v>0</v>
      </c>
      <c r="AC251" s="49" t="str">
        <f>IF(AND(AB251=1,'Plant Total by Account'!$H$1=2),"EKWRA","")</f>
        <v/>
      </c>
    </row>
    <row r="252" spans="1:29" x14ac:dyDescent="0.2">
      <c r="A252" s="39" t="s">
        <v>2796</v>
      </c>
      <c r="B252" s="45" t="s">
        <v>349</v>
      </c>
      <c r="C252" s="40" t="s">
        <v>3334</v>
      </c>
      <c r="D252" s="53">
        <v>0</v>
      </c>
      <c r="E252" s="53">
        <v>223137.50999999998</v>
      </c>
      <c r="F252" s="53">
        <v>5153240.6699999981</v>
      </c>
      <c r="G252" s="578">
        <f t="shared" si="35"/>
        <v>5376378.1799999978</v>
      </c>
      <c r="H252" s="41"/>
      <c r="I252" s="41"/>
      <c r="J252" s="41"/>
      <c r="K252" s="41">
        <f t="shared" si="37"/>
        <v>0</v>
      </c>
      <c r="L252" s="41">
        <f t="shared" si="38"/>
        <v>223137.50999999998</v>
      </c>
      <c r="M252" s="41">
        <f t="shared" si="39"/>
        <v>5153240.6699999981</v>
      </c>
      <c r="N252" s="363">
        <f t="shared" si="36"/>
        <v>0</v>
      </c>
      <c r="O252" s="43" t="s">
        <v>3309</v>
      </c>
      <c r="P252" s="43"/>
      <c r="R252" s="41">
        <f t="shared" si="32"/>
        <v>0</v>
      </c>
      <c r="S252" s="41">
        <f t="shared" si="33"/>
        <v>0</v>
      </c>
      <c r="T252" s="41">
        <f t="shared" si="34"/>
        <v>0</v>
      </c>
      <c r="U252" s="41"/>
      <c r="V252" s="44" t="str">
        <f>IF($P252="High",$S252,IF($P252="Mix",SUMIF('High_Low Voltage Mix Summary'!$B$10:$B$17,$B175,'High_Low Voltage Mix Summary'!$D$10:$D$17),""))</f>
        <v/>
      </c>
      <c r="W252" s="44" t="str">
        <f>IF($P252="Low",$S252,IF($P252="Mix",SUMIF('High_Low Voltage Mix Summary'!$B$10:$B$17,$B175,'High_Low Voltage Mix Summary'!$E$10:$E$17),""))</f>
        <v/>
      </c>
      <c r="X252" s="44" t="str">
        <f>IF($P252="High",$T252,IF($P252="Mix",SUMIF('High_Low Voltage Mix Summary'!$B$10:$B$17,$B175,'High_Low Voltage Mix Summary'!$F$10:$F$17),""))</f>
        <v/>
      </c>
      <c r="Y252" s="44" t="str">
        <f>IF($P252="Low",$T252,IF($P252="Mix",SUMIF('High_Low Voltage Mix Summary'!$B$10:$B$17,$B175,'High_Low Voltage Mix Summary'!$G$10:$G$17),""))</f>
        <v/>
      </c>
      <c r="Z252" s="44" t="str">
        <f>IF(OR($P252="High",$P252="Low"),"",IF($P252="Mix",SUMIF('High_Low Voltage Mix Summary'!$B$10:$B$17,$B175,'High_Low Voltage Mix Summary'!$H$10:$H$17),""))</f>
        <v/>
      </c>
      <c r="AB252" s="49">
        <f>SUMIF('Antelope Bailey Split BA'!$B$7:$B$29,B252,'Antelope Bailey Split BA'!$C$7:$C$29)</f>
        <v>0</v>
      </c>
      <c r="AC252" s="49" t="str">
        <f>IF(AND(AB252=1,'Plant Total by Account'!$H$1=2),"EKWRA","")</f>
        <v/>
      </c>
    </row>
    <row r="253" spans="1:29" x14ac:dyDescent="0.2">
      <c r="A253" s="39" t="s">
        <v>2797</v>
      </c>
      <c r="B253" s="45" t="s">
        <v>350</v>
      </c>
      <c r="C253" s="40" t="s">
        <v>3334</v>
      </c>
      <c r="D253" s="53">
        <v>0</v>
      </c>
      <c r="E253" s="53">
        <v>22124.05</v>
      </c>
      <c r="F253" s="53">
        <v>956248.81</v>
      </c>
      <c r="G253" s="578">
        <f t="shared" si="35"/>
        <v>978372.8600000001</v>
      </c>
      <c r="H253" s="41"/>
      <c r="I253" s="41"/>
      <c r="J253" s="41"/>
      <c r="K253" s="41">
        <f t="shared" si="37"/>
        <v>0</v>
      </c>
      <c r="L253" s="41">
        <f t="shared" si="38"/>
        <v>22124.05</v>
      </c>
      <c r="M253" s="41">
        <f t="shared" si="39"/>
        <v>956248.81</v>
      </c>
      <c r="N253" s="363">
        <f t="shared" si="36"/>
        <v>0</v>
      </c>
      <c r="O253" s="43" t="s">
        <v>3309</v>
      </c>
      <c r="P253" s="43"/>
      <c r="R253" s="41">
        <f t="shared" si="32"/>
        <v>0</v>
      </c>
      <c r="S253" s="41">
        <f t="shared" si="33"/>
        <v>0</v>
      </c>
      <c r="T253" s="41">
        <f t="shared" si="34"/>
        <v>0</v>
      </c>
      <c r="U253" s="41"/>
      <c r="V253" s="44" t="str">
        <f>IF($P253="High",$S253,IF($P253="Mix",SUMIF('High_Low Voltage Mix Summary'!$B$10:$B$17,$B176,'High_Low Voltage Mix Summary'!$D$10:$D$17),""))</f>
        <v/>
      </c>
      <c r="W253" s="44" t="str">
        <f>IF($P253="Low",$S253,IF($P253="Mix",SUMIF('High_Low Voltage Mix Summary'!$B$10:$B$17,$B176,'High_Low Voltage Mix Summary'!$E$10:$E$17),""))</f>
        <v/>
      </c>
      <c r="X253" s="44" t="str">
        <f>IF($P253="High",$T253,IF($P253="Mix",SUMIF('High_Low Voltage Mix Summary'!$B$10:$B$17,$B176,'High_Low Voltage Mix Summary'!$F$10:$F$17),""))</f>
        <v/>
      </c>
      <c r="Y253" s="44" t="str">
        <f>IF($P253="Low",$T253,IF($P253="Mix",SUMIF('High_Low Voltage Mix Summary'!$B$10:$B$17,$B176,'High_Low Voltage Mix Summary'!$G$10:$G$17),""))</f>
        <v/>
      </c>
      <c r="Z253" s="44" t="str">
        <f>IF(OR($P253="High",$P253="Low"),"",IF($P253="Mix",SUMIF('High_Low Voltage Mix Summary'!$B$10:$B$17,$B176,'High_Low Voltage Mix Summary'!$H$10:$H$17),""))</f>
        <v/>
      </c>
      <c r="AB253" s="49">
        <f>SUMIF('Antelope Bailey Split BA'!$B$7:$B$29,B253,'Antelope Bailey Split BA'!$C$7:$C$29)</f>
        <v>0</v>
      </c>
      <c r="AC253" s="49" t="str">
        <f>IF(AND(AB253=1,'Plant Total by Account'!$H$1=2),"EKWRA","")</f>
        <v/>
      </c>
    </row>
    <row r="254" spans="1:29" x14ac:dyDescent="0.2">
      <c r="A254" s="39" t="s">
        <v>2798</v>
      </c>
      <c r="B254" s="45" t="s">
        <v>1467</v>
      </c>
      <c r="C254" s="40" t="s">
        <v>3334</v>
      </c>
      <c r="D254" s="53">
        <v>0</v>
      </c>
      <c r="E254" s="53">
        <v>377.66</v>
      </c>
      <c r="F254" s="53">
        <v>174397.36999999994</v>
      </c>
      <c r="G254" s="578">
        <f t="shared" si="35"/>
        <v>174775.02999999994</v>
      </c>
      <c r="H254" s="41"/>
      <c r="I254" s="41"/>
      <c r="J254" s="41"/>
      <c r="K254" s="41">
        <f t="shared" si="37"/>
        <v>0</v>
      </c>
      <c r="L254" s="41">
        <f t="shared" si="38"/>
        <v>377.66</v>
      </c>
      <c r="M254" s="41">
        <f t="shared" si="39"/>
        <v>174397.36999999994</v>
      </c>
      <c r="N254" s="363">
        <f t="shared" si="36"/>
        <v>0</v>
      </c>
      <c r="O254" s="43" t="s">
        <v>3309</v>
      </c>
      <c r="P254" s="43"/>
      <c r="R254" s="41">
        <f t="shared" si="32"/>
        <v>0</v>
      </c>
      <c r="S254" s="41">
        <f t="shared" si="33"/>
        <v>0</v>
      </c>
      <c r="T254" s="41">
        <f t="shared" si="34"/>
        <v>0</v>
      </c>
      <c r="U254" s="41"/>
      <c r="V254" s="44" t="str">
        <f>IF($P254="High",$S254,IF($P254="Mix",SUMIF('High_Low Voltage Mix Summary'!$B$10:$B$17,$B177,'High_Low Voltage Mix Summary'!$D$10:$D$17),""))</f>
        <v/>
      </c>
      <c r="W254" s="44" t="str">
        <f>IF($P254="Low",$S254,IF($P254="Mix",SUMIF('High_Low Voltage Mix Summary'!$B$10:$B$17,$B177,'High_Low Voltage Mix Summary'!$E$10:$E$17),""))</f>
        <v/>
      </c>
      <c r="X254" s="44" t="str">
        <f>IF($P254="High",$T254,IF($P254="Mix",SUMIF('High_Low Voltage Mix Summary'!$B$10:$B$17,$B177,'High_Low Voltage Mix Summary'!$F$10:$F$17),""))</f>
        <v/>
      </c>
      <c r="Y254" s="44" t="str">
        <f>IF($P254="Low",$T254,IF($P254="Mix",SUMIF('High_Low Voltage Mix Summary'!$B$10:$B$17,$B177,'High_Low Voltage Mix Summary'!$G$10:$G$17),""))</f>
        <v/>
      </c>
      <c r="Z254" s="44" t="str">
        <f>IF(OR($P254="High",$P254="Low"),"",IF($P254="Mix",SUMIF('High_Low Voltage Mix Summary'!$B$10:$B$17,$B177,'High_Low Voltage Mix Summary'!$H$10:$H$17),""))</f>
        <v/>
      </c>
      <c r="AB254" s="49">
        <f>SUMIF('Antelope Bailey Split BA'!$B$7:$B$29,B254,'Antelope Bailey Split BA'!$C$7:$C$29)</f>
        <v>0</v>
      </c>
      <c r="AC254" s="49" t="str">
        <f>IF(AND(AB254=1,'Plant Total by Account'!$H$1=2),"EKWRA","")</f>
        <v/>
      </c>
    </row>
    <row r="255" spans="1:29" x14ac:dyDescent="0.2">
      <c r="A255" s="39" t="s">
        <v>3289</v>
      </c>
      <c r="B255" s="45">
        <v>5300</v>
      </c>
      <c r="C255" s="40" t="s">
        <v>3290</v>
      </c>
      <c r="D255" s="41">
        <v>0</v>
      </c>
      <c r="E255" s="41">
        <v>0</v>
      </c>
      <c r="F255" s="41">
        <v>598866.81000000006</v>
      </c>
      <c r="G255" s="578">
        <f t="shared" si="35"/>
        <v>598866.81000000006</v>
      </c>
      <c r="H255" s="173"/>
      <c r="I255" s="173"/>
      <c r="J255" s="173"/>
      <c r="K255" s="173">
        <f t="shared" si="37"/>
        <v>0</v>
      </c>
      <c r="L255" s="173">
        <f t="shared" si="38"/>
        <v>0</v>
      </c>
      <c r="M255" s="173">
        <f t="shared" si="39"/>
        <v>598866.81000000006</v>
      </c>
      <c r="N255" s="363">
        <f t="shared" si="36"/>
        <v>0</v>
      </c>
      <c r="O255" s="43" t="s">
        <v>3309</v>
      </c>
      <c r="P255" s="43"/>
      <c r="R255" s="41">
        <f t="shared" si="32"/>
        <v>0</v>
      </c>
      <c r="S255" s="41">
        <f t="shared" si="33"/>
        <v>0</v>
      </c>
      <c r="T255" s="41">
        <f t="shared" si="34"/>
        <v>0</v>
      </c>
      <c r="U255" s="41"/>
      <c r="V255" s="44" t="str">
        <f>IF($P255="High",$S255,IF($P255="Mix",SUMIF('High_Low Voltage Mix Summary'!$B$10:$B$17,$B863,'High_Low Voltage Mix Summary'!$D$10:$D$17),""))</f>
        <v/>
      </c>
      <c r="W255" s="44" t="str">
        <f>IF($P255="Low",$S255,IF($P255="Mix",SUMIF('High_Low Voltage Mix Summary'!$B$10:$B$17,$B863,'High_Low Voltage Mix Summary'!$E$10:$E$17),""))</f>
        <v/>
      </c>
      <c r="X255" s="44" t="str">
        <f>IF($P255="High",$T255,IF($P255="Mix",SUMIF('High_Low Voltage Mix Summary'!$B$10:$B$17,$B863,'High_Low Voltage Mix Summary'!$F$10:$F$17),""))</f>
        <v/>
      </c>
      <c r="Y255" s="44" t="str">
        <f>IF($P255="Low",$T255,IF($P255="Mix",SUMIF('High_Low Voltage Mix Summary'!$B$10:$B$17,$B863,'High_Low Voltage Mix Summary'!$G$10:$G$17),""))</f>
        <v/>
      </c>
      <c r="Z255" s="44" t="str">
        <f>IF(OR($P255="High",$P255="Low"),"",IF($P255="Mix",SUMIF('High_Low Voltage Mix Summary'!$B$10:$B$17,$B863,'High_Low Voltage Mix Summary'!$H$10:$H$17),""))</f>
        <v/>
      </c>
      <c r="AB255" s="49">
        <f>SUMIF('Antelope Bailey Split BA'!$B$7:$B$29,B255,'Antelope Bailey Split BA'!$C$7:$C$29)</f>
        <v>0</v>
      </c>
      <c r="AC255" s="49" t="str">
        <f>IF(AND(AB255=1,'Plant Total by Account'!$H$1=2),"EKWRA","")</f>
        <v/>
      </c>
    </row>
    <row r="256" spans="1:29" x14ac:dyDescent="0.2">
      <c r="A256" s="39" t="s">
        <v>2799</v>
      </c>
      <c r="B256" s="40" t="s">
        <v>351</v>
      </c>
      <c r="C256" s="40" t="s">
        <v>3333</v>
      </c>
      <c r="D256" s="53">
        <v>0</v>
      </c>
      <c r="E256" s="53">
        <v>701347.69000000006</v>
      </c>
      <c r="F256" s="53">
        <v>2763503.52</v>
      </c>
      <c r="G256" s="578">
        <f t="shared" si="35"/>
        <v>3464851.21</v>
      </c>
      <c r="H256" s="41"/>
      <c r="I256" s="41"/>
      <c r="J256" s="41"/>
      <c r="K256" s="41">
        <f t="shared" si="37"/>
        <v>0</v>
      </c>
      <c r="L256" s="41">
        <f t="shared" si="38"/>
        <v>701347.69000000006</v>
      </c>
      <c r="M256" s="41">
        <f t="shared" si="39"/>
        <v>2763503.52</v>
      </c>
      <c r="N256" s="363">
        <f t="shared" si="36"/>
        <v>0</v>
      </c>
      <c r="O256" s="43" t="s">
        <v>3309</v>
      </c>
      <c r="P256" s="43"/>
      <c r="R256" s="41">
        <f t="shared" si="32"/>
        <v>0</v>
      </c>
      <c r="S256" s="41">
        <f t="shared" si="33"/>
        <v>0</v>
      </c>
      <c r="T256" s="41">
        <f t="shared" si="34"/>
        <v>0</v>
      </c>
      <c r="U256" s="41"/>
      <c r="V256" s="44" t="str">
        <f>IF($P256="High",$S256,IF($P256="Mix",SUMIF('High_Low Voltage Mix Summary'!$B$10:$B$17,$B178,'High_Low Voltage Mix Summary'!$D$10:$D$17),""))</f>
        <v/>
      </c>
      <c r="W256" s="44" t="str">
        <f>IF($P256="Low",$S256,IF($P256="Mix",SUMIF('High_Low Voltage Mix Summary'!$B$10:$B$17,$B178,'High_Low Voltage Mix Summary'!$E$10:$E$17),""))</f>
        <v/>
      </c>
      <c r="X256" s="44" t="str">
        <f>IF($P256="High",$T256,IF($P256="Mix",SUMIF('High_Low Voltage Mix Summary'!$B$10:$B$17,$B178,'High_Low Voltage Mix Summary'!$F$10:$F$17),""))</f>
        <v/>
      </c>
      <c r="Y256" s="44" t="str">
        <f>IF($P256="Low",$T256,IF($P256="Mix",SUMIF('High_Low Voltage Mix Summary'!$B$10:$B$17,$B178,'High_Low Voltage Mix Summary'!$G$10:$G$17),""))</f>
        <v/>
      </c>
      <c r="Z256" s="44" t="str">
        <f>IF(OR($P256="High",$P256="Low"),"",IF($P256="Mix",SUMIF('High_Low Voltage Mix Summary'!$B$10:$B$17,$B178,'High_Low Voltage Mix Summary'!$H$10:$H$17),""))</f>
        <v/>
      </c>
      <c r="AB256" s="49">
        <f>SUMIF('Antelope Bailey Split BA'!$B$7:$B$29,B256,'Antelope Bailey Split BA'!$C$7:$C$29)</f>
        <v>0</v>
      </c>
      <c r="AC256" s="49" t="str">
        <f>IF(AND(AB256=1,'Plant Total by Account'!$H$1=2),"EKWRA","")</f>
        <v/>
      </c>
    </row>
    <row r="257" spans="1:29" x14ac:dyDescent="0.2">
      <c r="A257" s="39" t="s">
        <v>2800</v>
      </c>
      <c r="B257" s="45" t="s">
        <v>352</v>
      </c>
      <c r="C257" s="40" t="s">
        <v>3331</v>
      </c>
      <c r="D257" s="53">
        <v>0</v>
      </c>
      <c r="E257" s="53">
        <v>6754.47</v>
      </c>
      <c r="F257" s="53">
        <v>82537.84</v>
      </c>
      <c r="G257" s="578">
        <f t="shared" si="35"/>
        <v>89292.31</v>
      </c>
      <c r="H257" s="41"/>
      <c r="I257" s="41"/>
      <c r="J257" s="41"/>
      <c r="K257" s="41">
        <f t="shared" si="37"/>
        <v>0</v>
      </c>
      <c r="L257" s="41">
        <f t="shared" si="38"/>
        <v>6754.47</v>
      </c>
      <c r="M257" s="41">
        <f t="shared" si="39"/>
        <v>82537.84</v>
      </c>
      <c r="N257" s="363">
        <f t="shared" si="36"/>
        <v>0</v>
      </c>
      <c r="O257" s="43" t="s">
        <v>3309</v>
      </c>
      <c r="P257" s="43"/>
      <c r="R257" s="41">
        <f t="shared" si="32"/>
        <v>0</v>
      </c>
      <c r="S257" s="41">
        <f t="shared" si="33"/>
        <v>0</v>
      </c>
      <c r="T257" s="41">
        <f t="shared" si="34"/>
        <v>0</v>
      </c>
      <c r="U257" s="41"/>
      <c r="V257" s="44" t="str">
        <f>IF($P257="High",$S257,IF($P257="Mix",SUMIF('High_Low Voltage Mix Summary'!$B$10:$B$17,$B1420,'High_Low Voltage Mix Summary'!$D$10:$D$17),""))</f>
        <v/>
      </c>
      <c r="W257" s="44" t="str">
        <f>IF($P257="Low",$S257,IF($P257="Mix",SUMIF('High_Low Voltage Mix Summary'!$B$10:$B$17,$B1420,'High_Low Voltage Mix Summary'!$E$10:$E$17),""))</f>
        <v/>
      </c>
      <c r="X257" s="44" t="str">
        <f>IF($P257="High",$T257,IF($P257="Mix",SUMIF('High_Low Voltage Mix Summary'!$B$10:$B$17,$B1420,'High_Low Voltage Mix Summary'!$F$10:$F$17),""))</f>
        <v/>
      </c>
      <c r="Y257" s="44" t="str">
        <f>IF($P257="Low",$T257,IF($P257="Mix",SUMIF('High_Low Voltage Mix Summary'!$B$10:$B$17,$B1420,'High_Low Voltage Mix Summary'!$G$10:$G$17),""))</f>
        <v/>
      </c>
      <c r="Z257" s="44" t="str">
        <f>IF(OR($P257="High",$P257="Low"),"",IF($P257="Mix",SUMIF('High_Low Voltage Mix Summary'!$B$10:$B$17,$B1420,'High_Low Voltage Mix Summary'!$H$10:$H$17),""))</f>
        <v/>
      </c>
      <c r="AB257" s="49">
        <f>SUMIF('Antelope Bailey Split BA'!$B$7:$B$29,B257,'Antelope Bailey Split BA'!$C$7:$C$29)</f>
        <v>0</v>
      </c>
      <c r="AC257" s="49" t="str">
        <f>IF(AND(AB257=1,'Plant Total by Account'!$H$1=2),"EKWRA","")</f>
        <v/>
      </c>
    </row>
    <row r="258" spans="1:29" x14ac:dyDescent="0.2">
      <c r="A258" s="39" t="s">
        <v>2801</v>
      </c>
      <c r="B258" s="45" t="s">
        <v>353</v>
      </c>
      <c r="C258" s="40" t="s">
        <v>3334</v>
      </c>
      <c r="D258" s="53">
        <v>532.66000000000008</v>
      </c>
      <c r="E258" s="53">
        <v>418072.34000000008</v>
      </c>
      <c r="F258" s="53">
        <v>10966560.159999996</v>
      </c>
      <c r="G258" s="578">
        <f t="shared" si="35"/>
        <v>11385165.159999996</v>
      </c>
      <c r="H258" s="41"/>
      <c r="I258" s="41"/>
      <c r="J258" s="41"/>
      <c r="K258" s="41">
        <f t="shared" si="37"/>
        <v>532.66000000000008</v>
      </c>
      <c r="L258" s="41">
        <f t="shared" si="38"/>
        <v>418072.34000000008</v>
      </c>
      <c r="M258" s="41">
        <f t="shared" si="39"/>
        <v>10966560.159999996</v>
      </c>
      <c r="N258" s="363">
        <f t="shared" si="36"/>
        <v>0</v>
      </c>
      <c r="O258" s="43" t="s">
        <v>3309</v>
      </c>
      <c r="P258" s="43"/>
      <c r="R258" s="41">
        <f t="shared" si="32"/>
        <v>0</v>
      </c>
      <c r="S258" s="41">
        <f t="shared" si="33"/>
        <v>0</v>
      </c>
      <c r="T258" s="41">
        <f t="shared" si="34"/>
        <v>0</v>
      </c>
      <c r="U258" s="41"/>
      <c r="V258" s="44" t="str">
        <f>IF($P258="High",$S258,IF($P258="Mix",SUMIF('High_Low Voltage Mix Summary'!$B$10:$B$17,$B661,'High_Low Voltage Mix Summary'!$D$10:$D$17),""))</f>
        <v/>
      </c>
      <c r="W258" s="44" t="str">
        <f>IF($P258="Low",$S258,IF($P258="Mix",SUMIF('High_Low Voltage Mix Summary'!$B$10:$B$17,$B661,'High_Low Voltage Mix Summary'!$E$10:$E$17),""))</f>
        <v/>
      </c>
      <c r="X258" s="44" t="str">
        <f>IF($P258="High",$T258,IF($P258="Mix",SUMIF('High_Low Voltage Mix Summary'!$B$10:$B$17,$B661,'High_Low Voltage Mix Summary'!$F$10:$F$17),""))</f>
        <v/>
      </c>
      <c r="Y258" s="44" t="str">
        <f>IF($P258="Low",$T258,IF($P258="Mix",SUMIF('High_Low Voltage Mix Summary'!$B$10:$B$17,$B661,'High_Low Voltage Mix Summary'!$G$10:$G$17),""))</f>
        <v/>
      </c>
      <c r="Z258" s="44" t="str">
        <f>IF(OR($P258="High",$P258="Low"),"",IF($P258="Mix",SUMIF('High_Low Voltage Mix Summary'!$B$10:$B$17,$B661,'High_Low Voltage Mix Summary'!$H$10:$H$17),""))</f>
        <v/>
      </c>
      <c r="AB258" s="49">
        <f>SUMIF('Antelope Bailey Split BA'!$B$7:$B$29,B258,'Antelope Bailey Split BA'!$C$7:$C$29)</f>
        <v>0</v>
      </c>
      <c r="AC258" s="49" t="str">
        <f>IF(AND(AB258=1,'Plant Total by Account'!$H$1=2),"EKWRA","")</f>
        <v/>
      </c>
    </row>
    <row r="259" spans="1:29" x14ac:dyDescent="0.2">
      <c r="A259" s="39" t="s">
        <v>2802</v>
      </c>
      <c r="B259" s="45" t="s">
        <v>354</v>
      </c>
      <c r="C259" s="40" t="s">
        <v>3334</v>
      </c>
      <c r="D259" s="53">
        <v>1931.43</v>
      </c>
      <c r="E259" s="53">
        <v>14487.849999999999</v>
      </c>
      <c r="F259" s="53">
        <v>597003.01999999979</v>
      </c>
      <c r="G259" s="578">
        <f t="shared" si="35"/>
        <v>613422.29999999981</v>
      </c>
      <c r="H259" s="41"/>
      <c r="I259" s="41"/>
      <c r="J259" s="41"/>
      <c r="K259" s="41">
        <f t="shared" si="37"/>
        <v>1931.43</v>
      </c>
      <c r="L259" s="41">
        <f t="shared" si="38"/>
        <v>14487.849999999999</v>
      </c>
      <c r="M259" s="41">
        <f t="shared" si="39"/>
        <v>597003.01999999979</v>
      </c>
      <c r="N259" s="363">
        <f t="shared" si="36"/>
        <v>0</v>
      </c>
      <c r="O259" s="43" t="s">
        <v>3309</v>
      </c>
      <c r="P259" s="43"/>
      <c r="R259" s="41">
        <f t="shared" si="32"/>
        <v>0</v>
      </c>
      <c r="S259" s="41">
        <f t="shared" si="33"/>
        <v>0</v>
      </c>
      <c r="T259" s="41">
        <f t="shared" si="34"/>
        <v>0</v>
      </c>
      <c r="U259" s="41"/>
      <c r="V259" s="44" t="str">
        <f>IF($P259="High",$S259,IF($P259="Mix",SUMIF('High_Low Voltage Mix Summary'!$B$10:$B$17,$B179,'High_Low Voltage Mix Summary'!$D$10:$D$17),""))</f>
        <v/>
      </c>
      <c r="W259" s="44" t="str">
        <f>IF($P259="Low",$S259,IF($P259="Mix",SUMIF('High_Low Voltage Mix Summary'!$B$10:$B$17,$B179,'High_Low Voltage Mix Summary'!$E$10:$E$17),""))</f>
        <v/>
      </c>
      <c r="X259" s="44" t="str">
        <f>IF($P259="High",$T259,IF($P259="Mix",SUMIF('High_Low Voltage Mix Summary'!$B$10:$B$17,$B179,'High_Low Voltage Mix Summary'!$F$10:$F$17),""))</f>
        <v/>
      </c>
      <c r="Y259" s="44" t="str">
        <f>IF($P259="Low",$T259,IF($P259="Mix",SUMIF('High_Low Voltage Mix Summary'!$B$10:$B$17,$B179,'High_Low Voltage Mix Summary'!$G$10:$G$17),""))</f>
        <v/>
      </c>
      <c r="Z259" s="44" t="str">
        <f>IF(OR($P259="High",$P259="Low"),"",IF($P259="Mix",SUMIF('High_Low Voltage Mix Summary'!$B$10:$B$17,$B179,'High_Low Voltage Mix Summary'!$H$10:$H$17),""))</f>
        <v/>
      </c>
      <c r="AB259" s="49">
        <f>SUMIF('Antelope Bailey Split BA'!$B$7:$B$29,B259,'Antelope Bailey Split BA'!$C$7:$C$29)</f>
        <v>0</v>
      </c>
      <c r="AC259" s="49" t="str">
        <f>IF(AND(AB259=1,'Plant Total by Account'!$H$1=2),"EKWRA","")</f>
        <v/>
      </c>
    </row>
    <row r="260" spans="1:29" x14ac:dyDescent="0.2">
      <c r="A260" s="39" t="s">
        <v>2803</v>
      </c>
      <c r="B260" s="45" t="s">
        <v>355</v>
      </c>
      <c r="C260" s="40" t="s">
        <v>3334</v>
      </c>
      <c r="D260" s="53">
        <v>646.51</v>
      </c>
      <c r="E260" s="53">
        <v>33491.810000000005</v>
      </c>
      <c r="F260" s="53">
        <v>5139318.0800000019</v>
      </c>
      <c r="G260" s="578">
        <f t="shared" si="35"/>
        <v>5173456.4000000022</v>
      </c>
      <c r="H260" s="41"/>
      <c r="I260" s="41"/>
      <c r="J260" s="41"/>
      <c r="K260" s="41">
        <f t="shared" si="37"/>
        <v>646.51</v>
      </c>
      <c r="L260" s="41">
        <f t="shared" si="38"/>
        <v>33491.810000000005</v>
      </c>
      <c r="M260" s="41">
        <f t="shared" si="39"/>
        <v>5139318.0800000019</v>
      </c>
      <c r="N260" s="363">
        <f t="shared" si="36"/>
        <v>0</v>
      </c>
      <c r="O260" s="43" t="s">
        <v>3309</v>
      </c>
      <c r="P260" s="43"/>
      <c r="R260" s="41">
        <f t="shared" si="32"/>
        <v>0</v>
      </c>
      <c r="S260" s="41">
        <f t="shared" si="33"/>
        <v>0</v>
      </c>
      <c r="T260" s="41">
        <f t="shared" si="34"/>
        <v>0</v>
      </c>
      <c r="U260" s="41"/>
      <c r="V260" s="44" t="str">
        <f>IF($P260="High",$S260,IF($P260="Mix",SUMIF('High_Low Voltage Mix Summary'!$B$10:$B$17,$B180,'High_Low Voltage Mix Summary'!$D$10:$D$17),""))</f>
        <v/>
      </c>
      <c r="W260" s="44" t="str">
        <f>IF($P260="Low",$S260,IF($P260="Mix",SUMIF('High_Low Voltage Mix Summary'!$B$10:$B$17,$B180,'High_Low Voltage Mix Summary'!$E$10:$E$17),""))</f>
        <v/>
      </c>
      <c r="X260" s="44" t="str">
        <f>IF($P260="High",$T260,IF($P260="Mix",SUMIF('High_Low Voltage Mix Summary'!$B$10:$B$17,$B180,'High_Low Voltage Mix Summary'!$F$10:$F$17),""))</f>
        <v/>
      </c>
      <c r="Y260" s="44" t="str">
        <f>IF($P260="Low",$T260,IF($P260="Mix",SUMIF('High_Low Voltage Mix Summary'!$B$10:$B$17,$B180,'High_Low Voltage Mix Summary'!$G$10:$G$17),""))</f>
        <v/>
      </c>
      <c r="Z260" s="44" t="str">
        <f>IF(OR($P260="High",$P260="Low"),"",IF($P260="Mix",SUMIF('High_Low Voltage Mix Summary'!$B$10:$B$17,$B180,'High_Low Voltage Mix Summary'!$H$10:$H$17),""))</f>
        <v/>
      </c>
      <c r="AB260" s="49">
        <f>SUMIF('Antelope Bailey Split BA'!$B$7:$B$29,B260,'Antelope Bailey Split BA'!$C$7:$C$29)</f>
        <v>0</v>
      </c>
      <c r="AC260" s="49" t="str">
        <f>IF(AND(AB260=1,'Plant Total by Account'!$H$1=2),"EKWRA","")</f>
        <v/>
      </c>
    </row>
    <row r="261" spans="1:29" x14ac:dyDescent="0.2">
      <c r="A261" s="39" t="s">
        <v>2804</v>
      </c>
      <c r="B261" s="45" t="s">
        <v>356</v>
      </c>
      <c r="C261" s="40" t="s">
        <v>3334</v>
      </c>
      <c r="D261" s="53">
        <v>17.46</v>
      </c>
      <c r="E261" s="53">
        <v>260586.98000000004</v>
      </c>
      <c r="F261" s="53">
        <v>4054094.5999999996</v>
      </c>
      <c r="G261" s="578">
        <f t="shared" si="35"/>
        <v>4314699.04</v>
      </c>
      <c r="H261" s="41"/>
      <c r="I261" s="41"/>
      <c r="J261" s="41"/>
      <c r="K261" s="41">
        <f t="shared" si="37"/>
        <v>17.46</v>
      </c>
      <c r="L261" s="41">
        <f t="shared" si="38"/>
        <v>260586.98000000004</v>
      </c>
      <c r="M261" s="41">
        <f t="shared" si="39"/>
        <v>4054094.5999999996</v>
      </c>
      <c r="N261" s="363">
        <f t="shared" si="36"/>
        <v>0</v>
      </c>
      <c r="O261" s="43" t="s">
        <v>3309</v>
      </c>
      <c r="P261" s="43"/>
      <c r="R261" s="41">
        <f t="shared" ref="R261:R324" si="40">SUM(H261:J261)</f>
        <v>0</v>
      </c>
      <c r="S261" s="41">
        <f t="shared" ref="S261:S324" si="41">H261</f>
        <v>0</v>
      </c>
      <c r="T261" s="41">
        <f t="shared" ref="T261:T324" si="42">SUM(I261:J261)</f>
        <v>0</v>
      </c>
      <c r="U261" s="41"/>
      <c r="V261" s="44" t="str">
        <f>IF($P261="High",$S261,IF($P261="Mix",SUMIF('High_Low Voltage Mix Summary'!$B$10:$B$17,$B181,'High_Low Voltage Mix Summary'!$D$10:$D$17),""))</f>
        <v/>
      </c>
      <c r="W261" s="44" t="str">
        <f>IF($P261="Low",$S261,IF($P261="Mix",SUMIF('High_Low Voltage Mix Summary'!$B$10:$B$17,$B181,'High_Low Voltage Mix Summary'!$E$10:$E$17),""))</f>
        <v/>
      </c>
      <c r="X261" s="44" t="str">
        <f>IF($P261="High",$T261,IF($P261="Mix",SUMIF('High_Low Voltage Mix Summary'!$B$10:$B$17,$B181,'High_Low Voltage Mix Summary'!$F$10:$F$17),""))</f>
        <v/>
      </c>
      <c r="Y261" s="44" t="str">
        <f>IF($P261="Low",$T261,IF($P261="Mix",SUMIF('High_Low Voltage Mix Summary'!$B$10:$B$17,$B181,'High_Low Voltage Mix Summary'!$G$10:$G$17),""))</f>
        <v/>
      </c>
      <c r="Z261" s="44" t="str">
        <f>IF(OR($P261="High",$P261="Low"),"",IF($P261="Mix",SUMIF('High_Low Voltage Mix Summary'!$B$10:$B$17,$B181,'High_Low Voltage Mix Summary'!$H$10:$H$17),""))</f>
        <v/>
      </c>
      <c r="AB261" s="49">
        <f>SUMIF('Antelope Bailey Split BA'!$B$7:$B$29,B261,'Antelope Bailey Split BA'!$C$7:$C$29)</f>
        <v>0</v>
      </c>
      <c r="AC261" s="49" t="str">
        <f>IF(AND(AB261=1,'Plant Total by Account'!$H$1=2),"EKWRA","")</f>
        <v/>
      </c>
    </row>
    <row r="262" spans="1:29" x14ac:dyDescent="0.2">
      <c r="A262" s="39" t="s">
        <v>2805</v>
      </c>
      <c r="B262" s="45" t="s">
        <v>357</v>
      </c>
      <c r="C262" s="40" t="s">
        <v>3333</v>
      </c>
      <c r="D262" s="53">
        <v>2428.4499999999998</v>
      </c>
      <c r="E262" s="53">
        <v>19685.060000000001</v>
      </c>
      <c r="F262" s="53">
        <v>163830.12000000002</v>
      </c>
      <c r="G262" s="578">
        <f t="shared" si="35"/>
        <v>185943.63000000003</v>
      </c>
      <c r="H262" s="41"/>
      <c r="I262" s="41"/>
      <c r="J262" s="41"/>
      <c r="K262" s="41">
        <f t="shared" si="37"/>
        <v>2428.4499999999998</v>
      </c>
      <c r="L262" s="41">
        <f t="shared" si="38"/>
        <v>19685.060000000001</v>
      </c>
      <c r="M262" s="41">
        <f t="shared" si="39"/>
        <v>163830.12000000002</v>
      </c>
      <c r="N262" s="363">
        <f t="shared" si="36"/>
        <v>0</v>
      </c>
      <c r="O262" s="43" t="s">
        <v>3309</v>
      </c>
      <c r="P262" s="43"/>
      <c r="R262" s="41">
        <f t="shared" si="40"/>
        <v>0</v>
      </c>
      <c r="S262" s="41">
        <f t="shared" si="41"/>
        <v>0</v>
      </c>
      <c r="T262" s="41">
        <f t="shared" si="42"/>
        <v>0</v>
      </c>
      <c r="U262" s="41"/>
      <c r="V262" s="44" t="str">
        <f>IF($P262="High",$S262,IF($P262="Mix",SUMIF('High_Low Voltage Mix Summary'!$B$10:$B$17,$B182,'High_Low Voltage Mix Summary'!$D$10:$D$17),""))</f>
        <v/>
      </c>
      <c r="W262" s="44" t="str">
        <f>IF($P262="Low",$S262,IF($P262="Mix",SUMIF('High_Low Voltage Mix Summary'!$B$10:$B$17,$B182,'High_Low Voltage Mix Summary'!$E$10:$E$17),""))</f>
        <v/>
      </c>
      <c r="X262" s="44" t="str">
        <f>IF($P262="High",$T262,IF($P262="Mix",SUMIF('High_Low Voltage Mix Summary'!$B$10:$B$17,$B182,'High_Low Voltage Mix Summary'!$F$10:$F$17),""))</f>
        <v/>
      </c>
      <c r="Y262" s="44" t="str">
        <f>IF($P262="Low",$T262,IF($P262="Mix",SUMIF('High_Low Voltage Mix Summary'!$B$10:$B$17,$B182,'High_Low Voltage Mix Summary'!$G$10:$G$17),""))</f>
        <v/>
      </c>
      <c r="Z262" s="44" t="str">
        <f>IF(OR($P262="High",$P262="Low"),"",IF($P262="Mix",SUMIF('High_Low Voltage Mix Summary'!$B$10:$B$17,$B182,'High_Low Voltage Mix Summary'!$H$10:$H$17),""))</f>
        <v/>
      </c>
      <c r="AB262" s="49">
        <f>SUMIF('Antelope Bailey Split BA'!$B$7:$B$29,B262,'Antelope Bailey Split BA'!$C$7:$C$29)</f>
        <v>0</v>
      </c>
      <c r="AC262" s="49" t="str">
        <f>IF(AND(AB262=1,'Plant Total by Account'!$H$1=2),"EKWRA","")</f>
        <v/>
      </c>
    </row>
    <row r="263" spans="1:29" x14ac:dyDescent="0.2">
      <c r="A263" s="39" t="s">
        <v>2806</v>
      </c>
      <c r="B263" s="45" t="s">
        <v>358</v>
      </c>
      <c r="C263" s="40" t="s">
        <v>3334</v>
      </c>
      <c r="D263" s="53">
        <v>0</v>
      </c>
      <c r="E263" s="53">
        <v>36583.22</v>
      </c>
      <c r="F263" s="53">
        <v>740349.55999999994</v>
      </c>
      <c r="G263" s="578">
        <f t="shared" si="35"/>
        <v>776932.77999999991</v>
      </c>
      <c r="H263" s="41"/>
      <c r="I263" s="41"/>
      <c r="J263" s="41"/>
      <c r="K263" s="41">
        <f t="shared" si="37"/>
        <v>0</v>
      </c>
      <c r="L263" s="41">
        <f t="shared" si="38"/>
        <v>36583.22</v>
      </c>
      <c r="M263" s="41">
        <f t="shared" si="39"/>
        <v>740349.55999999994</v>
      </c>
      <c r="N263" s="363">
        <f t="shared" si="36"/>
        <v>0</v>
      </c>
      <c r="O263" s="43" t="s">
        <v>3309</v>
      </c>
      <c r="P263" s="43"/>
      <c r="R263" s="41">
        <f t="shared" si="40"/>
        <v>0</v>
      </c>
      <c r="S263" s="41">
        <f t="shared" si="41"/>
        <v>0</v>
      </c>
      <c r="T263" s="41">
        <f t="shared" si="42"/>
        <v>0</v>
      </c>
      <c r="U263" s="41"/>
      <c r="V263" s="44" t="str">
        <f>IF($P263="High",$S263,IF($P263="Mix",SUMIF('High_Low Voltage Mix Summary'!$B$10:$B$17,$B662,'High_Low Voltage Mix Summary'!$D$10:$D$17),""))</f>
        <v/>
      </c>
      <c r="W263" s="44" t="str">
        <f>IF($P263="Low",$S263,IF($P263="Mix",SUMIF('High_Low Voltage Mix Summary'!$B$10:$B$17,$B662,'High_Low Voltage Mix Summary'!$E$10:$E$17),""))</f>
        <v/>
      </c>
      <c r="X263" s="44" t="str">
        <f>IF($P263="High",$T263,IF($P263="Mix",SUMIF('High_Low Voltage Mix Summary'!$B$10:$B$17,$B662,'High_Low Voltage Mix Summary'!$F$10:$F$17),""))</f>
        <v/>
      </c>
      <c r="Y263" s="44" t="str">
        <f>IF($P263="Low",$T263,IF($P263="Mix",SUMIF('High_Low Voltage Mix Summary'!$B$10:$B$17,$B662,'High_Low Voltage Mix Summary'!$G$10:$G$17),""))</f>
        <v/>
      </c>
      <c r="Z263" s="44" t="str">
        <f>IF(OR($P263="High",$P263="Low"),"",IF($P263="Mix",SUMIF('High_Low Voltage Mix Summary'!$B$10:$B$17,$B662,'High_Low Voltage Mix Summary'!$H$10:$H$17),""))</f>
        <v/>
      </c>
      <c r="AB263" s="49">
        <f>SUMIF('Antelope Bailey Split BA'!$B$7:$B$29,B263,'Antelope Bailey Split BA'!$C$7:$C$29)</f>
        <v>0</v>
      </c>
      <c r="AC263" s="49" t="str">
        <f>IF(AND(AB263=1,'Plant Total by Account'!$H$1=2),"EKWRA","")</f>
        <v/>
      </c>
    </row>
    <row r="264" spans="1:29" x14ac:dyDescent="0.2">
      <c r="A264" s="39" t="s">
        <v>2807</v>
      </c>
      <c r="B264" s="45" t="s">
        <v>359</v>
      </c>
      <c r="C264" s="40" t="s">
        <v>3334</v>
      </c>
      <c r="D264" s="53">
        <v>1398.21</v>
      </c>
      <c r="E264" s="53">
        <v>52091.700000000004</v>
      </c>
      <c r="F264" s="53">
        <v>3045688.0599999987</v>
      </c>
      <c r="G264" s="578">
        <f t="shared" si="35"/>
        <v>3099177.9699999988</v>
      </c>
      <c r="H264" s="41"/>
      <c r="I264" s="41"/>
      <c r="J264" s="41"/>
      <c r="K264" s="41">
        <f t="shared" si="37"/>
        <v>1398.21</v>
      </c>
      <c r="L264" s="41">
        <f t="shared" si="38"/>
        <v>52091.700000000004</v>
      </c>
      <c r="M264" s="41">
        <f t="shared" si="39"/>
        <v>3045688.0599999987</v>
      </c>
      <c r="N264" s="363">
        <f t="shared" si="36"/>
        <v>0</v>
      </c>
      <c r="O264" s="43" t="s">
        <v>3309</v>
      </c>
      <c r="P264" s="43"/>
      <c r="R264" s="41">
        <f t="shared" si="40"/>
        <v>0</v>
      </c>
      <c r="S264" s="41">
        <f t="shared" si="41"/>
        <v>0</v>
      </c>
      <c r="T264" s="41">
        <f t="shared" si="42"/>
        <v>0</v>
      </c>
      <c r="U264" s="41"/>
      <c r="V264" s="44" t="str">
        <f>IF($P264="High",$S264,IF($P264="Mix",SUMIF('High_Low Voltage Mix Summary'!$B$10:$B$17,$B183,'High_Low Voltage Mix Summary'!$D$10:$D$17),""))</f>
        <v/>
      </c>
      <c r="W264" s="44" t="str">
        <f>IF($P264="Low",$S264,IF($P264="Mix",SUMIF('High_Low Voltage Mix Summary'!$B$10:$B$17,$B183,'High_Low Voltage Mix Summary'!$E$10:$E$17),""))</f>
        <v/>
      </c>
      <c r="X264" s="44" t="str">
        <f>IF($P264="High",$T264,IF($P264="Mix",SUMIF('High_Low Voltage Mix Summary'!$B$10:$B$17,$B183,'High_Low Voltage Mix Summary'!$F$10:$F$17),""))</f>
        <v/>
      </c>
      <c r="Y264" s="44" t="str">
        <f>IF($P264="Low",$T264,IF($P264="Mix",SUMIF('High_Low Voltage Mix Summary'!$B$10:$B$17,$B183,'High_Low Voltage Mix Summary'!$G$10:$G$17),""))</f>
        <v/>
      </c>
      <c r="Z264" s="44" t="str">
        <f>IF(OR($P264="High",$P264="Low"),"",IF($P264="Mix",SUMIF('High_Low Voltage Mix Summary'!$B$10:$B$17,$B183,'High_Low Voltage Mix Summary'!$H$10:$H$17),""))</f>
        <v/>
      </c>
      <c r="AB264" s="49">
        <f>SUMIF('Antelope Bailey Split BA'!$B$7:$B$29,B264,'Antelope Bailey Split BA'!$C$7:$C$29)</f>
        <v>0</v>
      </c>
      <c r="AC264" s="49" t="str">
        <f>IF(AND(AB264=1,'Plant Total by Account'!$H$1=2),"EKWRA","")</f>
        <v/>
      </c>
    </row>
    <row r="265" spans="1:29" x14ac:dyDescent="0.2">
      <c r="A265" s="39" t="s">
        <v>2808</v>
      </c>
      <c r="B265" s="45" t="s">
        <v>360</v>
      </c>
      <c r="C265" s="40" t="s">
        <v>3334</v>
      </c>
      <c r="D265" s="53">
        <v>45306.58</v>
      </c>
      <c r="E265" s="53">
        <v>578216.12</v>
      </c>
      <c r="F265" s="53">
        <v>13324884.270000009</v>
      </c>
      <c r="G265" s="578">
        <f t="shared" si="35"/>
        <v>13948406.970000008</v>
      </c>
      <c r="H265" s="41"/>
      <c r="I265" s="41"/>
      <c r="J265" s="41"/>
      <c r="K265" s="41">
        <f t="shared" si="37"/>
        <v>45306.58</v>
      </c>
      <c r="L265" s="41">
        <f t="shared" si="38"/>
        <v>578216.12</v>
      </c>
      <c r="M265" s="41">
        <f t="shared" si="39"/>
        <v>13324884.270000009</v>
      </c>
      <c r="N265" s="363">
        <f t="shared" si="36"/>
        <v>0</v>
      </c>
      <c r="O265" s="43" t="s">
        <v>3309</v>
      </c>
      <c r="P265" s="43"/>
      <c r="R265" s="41">
        <f t="shared" si="40"/>
        <v>0</v>
      </c>
      <c r="S265" s="41">
        <f t="shared" si="41"/>
        <v>0</v>
      </c>
      <c r="T265" s="41">
        <f t="shared" si="42"/>
        <v>0</v>
      </c>
      <c r="U265" s="41"/>
      <c r="V265" s="44" t="str">
        <f>IF($P265="High",$S265,IF($P265="Mix",SUMIF('High_Low Voltage Mix Summary'!$B$10:$B$17,$B184,'High_Low Voltage Mix Summary'!$D$10:$D$17),""))</f>
        <v/>
      </c>
      <c r="W265" s="44" t="str">
        <f>IF($P265="Low",$S265,IF($P265="Mix",SUMIF('High_Low Voltage Mix Summary'!$B$10:$B$17,$B184,'High_Low Voltage Mix Summary'!$E$10:$E$17),""))</f>
        <v/>
      </c>
      <c r="X265" s="44" t="str">
        <f>IF($P265="High",$T265,IF($P265="Mix",SUMIF('High_Low Voltage Mix Summary'!$B$10:$B$17,$B184,'High_Low Voltage Mix Summary'!$F$10:$F$17),""))</f>
        <v/>
      </c>
      <c r="Y265" s="44" t="str">
        <f>IF($P265="Low",$T265,IF($P265="Mix",SUMIF('High_Low Voltage Mix Summary'!$B$10:$B$17,$B184,'High_Low Voltage Mix Summary'!$G$10:$G$17),""))</f>
        <v/>
      </c>
      <c r="Z265" s="44" t="str">
        <f>IF(OR($P265="High",$P265="Low"),"",IF($P265="Mix",SUMIF('High_Low Voltage Mix Summary'!$B$10:$B$17,$B184,'High_Low Voltage Mix Summary'!$H$10:$H$17),""))</f>
        <v/>
      </c>
      <c r="AB265" s="49">
        <f>SUMIF('Antelope Bailey Split BA'!$B$7:$B$29,B265,'Antelope Bailey Split BA'!$C$7:$C$29)</f>
        <v>0</v>
      </c>
      <c r="AC265" s="49" t="str">
        <f>IF(AND(AB265=1,'Plant Total by Account'!$H$1=2),"EKWRA","")</f>
        <v/>
      </c>
    </row>
    <row r="266" spans="1:29" x14ac:dyDescent="0.2">
      <c r="A266" s="39" t="s">
        <v>2809</v>
      </c>
      <c r="B266" s="45" t="s">
        <v>361</v>
      </c>
      <c r="C266" s="40" t="s">
        <v>3334</v>
      </c>
      <c r="D266" s="53">
        <v>9406.380000000001</v>
      </c>
      <c r="E266" s="53">
        <v>14611.330000000002</v>
      </c>
      <c r="F266" s="53">
        <v>114183.08</v>
      </c>
      <c r="G266" s="578">
        <f t="shared" si="35"/>
        <v>138200.79</v>
      </c>
      <c r="H266" s="41"/>
      <c r="I266" s="41"/>
      <c r="J266" s="41"/>
      <c r="K266" s="41">
        <f t="shared" si="37"/>
        <v>9406.380000000001</v>
      </c>
      <c r="L266" s="41">
        <f t="shared" si="38"/>
        <v>14611.330000000002</v>
      </c>
      <c r="M266" s="41">
        <f t="shared" si="39"/>
        <v>114183.08</v>
      </c>
      <c r="N266" s="363">
        <f t="shared" si="36"/>
        <v>0</v>
      </c>
      <c r="O266" s="43" t="s">
        <v>3309</v>
      </c>
      <c r="P266" s="43"/>
      <c r="R266" s="41">
        <f t="shared" si="40"/>
        <v>0</v>
      </c>
      <c r="S266" s="41">
        <f t="shared" si="41"/>
        <v>0</v>
      </c>
      <c r="T266" s="41">
        <f t="shared" si="42"/>
        <v>0</v>
      </c>
      <c r="U266" s="41"/>
      <c r="V266" s="44" t="str">
        <f>IF($P266="High",$S266,IF($P266="Mix",SUMIF('High_Low Voltage Mix Summary'!$B$10:$B$17,$B185,'High_Low Voltage Mix Summary'!$D$10:$D$17),""))</f>
        <v/>
      </c>
      <c r="W266" s="44" t="str">
        <f>IF($P266="Low",$S266,IF($P266="Mix",SUMIF('High_Low Voltage Mix Summary'!$B$10:$B$17,$B185,'High_Low Voltage Mix Summary'!$E$10:$E$17),""))</f>
        <v/>
      </c>
      <c r="X266" s="44" t="str">
        <f>IF($P266="High",$T266,IF($P266="Mix",SUMIF('High_Low Voltage Mix Summary'!$B$10:$B$17,$B185,'High_Low Voltage Mix Summary'!$F$10:$F$17),""))</f>
        <v/>
      </c>
      <c r="Y266" s="44" t="str">
        <f>IF($P266="Low",$T266,IF($P266="Mix",SUMIF('High_Low Voltage Mix Summary'!$B$10:$B$17,$B185,'High_Low Voltage Mix Summary'!$G$10:$G$17),""))</f>
        <v/>
      </c>
      <c r="Z266" s="44" t="str">
        <f>IF(OR($P266="High",$P266="Low"),"",IF($P266="Mix",SUMIF('High_Low Voltage Mix Summary'!$B$10:$B$17,$B185,'High_Low Voltage Mix Summary'!$H$10:$H$17),""))</f>
        <v/>
      </c>
      <c r="AB266" s="49">
        <f>SUMIF('Antelope Bailey Split BA'!$B$7:$B$29,B266,'Antelope Bailey Split BA'!$C$7:$C$29)</f>
        <v>0</v>
      </c>
      <c r="AC266" s="49" t="str">
        <f>IF(AND(AB266=1,'Plant Total by Account'!$H$1=2),"EKWRA","")</f>
        <v/>
      </c>
    </row>
    <row r="267" spans="1:29" x14ac:dyDescent="0.2">
      <c r="A267" s="39" t="s">
        <v>2810</v>
      </c>
      <c r="B267" s="45" t="s">
        <v>362</v>
      </c>
      <c r="C267" s="40" t="s">
        <v>3334</v>
      </c>
      <c r="D267" s="53">
        <v>8311.15</v>
      </c>
      <c r="E267" s="53">
        <v>381950.49</v>
      </c>
      <c r="F267" s="53">
        <v>8542549.7900000028</v>
      </c>
      <c r="G267" s="578">
        <f t="shared" ref="G267:G330" si="43">SUM(D267:F267)</f>
        <v>8932811.4300000034</v>
      </c>
      <c r="H267" s="41"/>
      <c r="I267" s="41"/>
      <c r="J267" s="41"/>
      <c r="K267" s="41">
        <f t="shared" si="37"/>
        <v>8311.15</v>
      </c>
      <c r="L267" s="41">
        <f t="shared" si="38"/>
        <v>381950.49</v>
      </c>
      <c r="M267" s="41">
        <f t="shared" si="39"/>
        <v>8542549.7900000028</v>
      </c>
      <c r="N267" s="363">
        <f t="shared" ref="N267:N330" si="44">G267-SUM(H267:M267)</f>
        <v>0</v>
      </c>
      <c r="O267" s="43" t="s">
        <v>3309</v>
      </c>
      <c r="P267" s="43"/>
      <c r="R267" s="41">
        <f t="shared" si="40"/>
        <v>0</v>
      </c>
      <c r="S267" s="41">
        <f t="shared" si="41"/>
        <v>0</v>
      </c>
      <c r="T267" s="41">
        <f t="shared" si="42"/>
        <v>0</v>
      </c>
      <c r="U267" s="41"/>
      <c r="V267" s="44" t="str">
        <f>IF($P267="High",$S267,IF($P267="Mix",SUMIF('High_Low Voltage Mix Summary'!$B$10:$B$17,$B186,'High_Low Voltage Mix Summary'!$D$10:$D$17),""))</f>
        <v/>
      </c>
      <c r="W267" s="44" t="str">
        <f>IF($P267="Low",$S267,IF($P267="Mix",SUMIF('High_Low Voltage Mix Summary'!$B$10:$B$17,$B186,'High_Low Voltage Mix Summary'!$E$10:$E$17),""))</f>
        <v/>
      </c>
      <c r="X267" s="44" t="str">
        <f>IF($P267="High",$T267,IF($P267="Mix",SUMIF('High_Low Voltage Mix Summary'!$B$10:$B$17,$B186,'High_Low Voltage Mix Summary'!$F$10:$F$17),""))</f>
        <v/>
      </c>
      <c r="Y267" s="44" t="str">
        <f>IF($P267="Low",$T267,IF($P267="Mix",SUMIF('High_Low Voltage Mix Summary'!$B$10:$B$17,$B186,'High_Low Voltage Mix Summary'!$G$10:$G$17),""))</f>
        <v/>
      </c>
      <c r="Z267" s="44" t="str">
        <f>IF(OR($P267="High",$P267="Low"),"",IF($P267="Mix",SUMIF('High_Low Voltage Mix Summary'!$B$10:$B$17,$B186,'High_Low Voltage Mix Summary'!$H$10:$H$17),""))</f>
        <v/>
      </c>
      <c r="AB267" s="49">
        <f>SUMIF('Antelope Bailey Split BA'!$B$7:$B$29,B267,'Antelope Bailey Split BA'!$C$7:$C$29)</f>
        <v>0</v>
      </c>
      <c r="AC267" s="49" t="str">
        <f>IF(AND(AB267=1,'Plant Total by Account'!$H$1=2),"EKWRA","")</f>
        <v/>
      </c>
    </row>
    <row r="268" spans="1:29" x14ac:dyDescent="0.2">
      <c r="A268" s="39" t="s">
        <v>2811</v>
      </c>
      <c r="B268" s="45" t="s">
        <v>363</v>
      </c>
      <c r="C268" s="40" t="s">
        <v>3334</v>
      </c>
      <c r="D268" s="53">
        <v>0</v>
      </c>
      <c r="E268" s="53">
        <v>5323.6500000000005</v>
      </c>
      <c r="F268" s="53">
        <v>274662.44</v>
      </c>
      <c r="G268" s="578">
        <f t="shared" si="43"/>
        <v>279986.09000000003</v>
      </c>
      <c r="H268" s="41"/>
      <c r="I268" s="41"/>
      <c r="J268" s="41"/>
      <c r="K268" s="41">
        <f t="shared" si="37"/>
        <v>0</v>
      </c>
      <c r="L268" s="41">
        <f t="shared" si="38"/>
        <v>5323.6500000000005</v>
      </c>
      <c r="M268" s="41">
        <f t="shared" si="39"/>
        <v>274662.44</v>
      </c>
      <c r="N268" s="363">
        <f t="shared" si="44"/>
        <v>0</v>
      </c>
      <c r="O268" s="43" t="s">
        <v>3309</v>
      </c>
      <c r="P268" s="43"/>
      <c r="R268" s="41">
        <f t="shared" si="40"/>
        <v>0</v>
      </c>
      <c r="S268" s="41">
        <f t="shared" si="41"/>
        <v>0</v>
      </c>
      <c r="T268" s="41">
        <f t="shared" si="42"/>
        <v>0</v>
      </c>
      <c r="U268" s="41"/>
      <c r="V268" s="44" t="str">
        <f>IF($P268="High",$S268,IF($P268="Mix",SUMIF('High_Low Voltage Mix Summary'!$B$10:$B$17,$B187,'High_Low Voltage Mix Summary'!$D$10:$D$17),""))</f>
        <v/>
      </c>
      <c r="W268" s="44" t="str">
        <f>IF($P268="Low",$S268,IF($P268="Mix",SUMIF('High_Low Voltage Mix Summary'!$B$10:$B$17,$B187,'High_Low Voltage Mix Summary'!$E$10:$E$17),""))</f>
        <v/>
      </c>
      <c r="X268" s="44" t="str">
        <f>IF($P268="High",$T268,IF($P268="Mix",SUMIF('High_Low Voltage Mix Summary'!$B$10:$B$17,$B187,'High_Low Voltage Mix Summary'!$F$10:$F$17),""))</f>
        <v/>
      </c>
      <c r="Y268" s="44" t="str">
        <f>IF($P268="Low",$T268,IF($P268="Mix",SUMIF('High_Low Voltage Mix Summary'!$B$10:$B$17,$B187,'High_Low Voltage Mix Summary'!$G$10:$G$17),""))</f>
        <v/>
      </c>
      <c r="Z268" s="44" t="str">
        <f>IF(OR($P268="High",$P268="Low"),"",IF($P268="Mix",SUMIF('High_Low Voltage Mix Summary'!$B$10:$B$17,$B187,'High_Low Voltage Mix Summary'!$H$10:$H$17),""))</f>
        <v/>
      </c>
      <c r="AB268" s="49">
        <f>SUMIF('Antelope Bailey Split BA'!$B$7:$B$29,B268,'Antelope Bailey Split BA'!$C$7:$C$29)</f>
        <v>0</v>
      </c>
      <c r="AC268" s="49" t="str">
        <f>IF(AND(AB268=1,'Plant Total by Account'!$H$1=2),"EKWRA","")</f>
        <v/>
      </c>
    </row>
    <row r="269" spans="1:29" x14ac:dyDescent="0.2">
      <c r="A269" s="39" t="s">
        <v>2812</v>
      </c>
      <c r="B269" s="45" t="s">
        <v>364</v>
      </c>
      <c r="C269" s="40" t="s">
        <v>3334</v>
      </c>
      <c r="D269" s="53">
        <v>601.43000000000006</v>
      </c>
      <c r="E269" s="53">
        <v>9326.11</v>
      </c>
      <c r="F269" s="53">
        <v>1428146.4999999998</v>
      </c>
      <c r="G269" s="578">
        <f t="shared" si="43"/>
        <v>1438074.0399999998</v>
      </c>
      <c r="H269" s="41"/>
      <c r="I269" s="41"/>
      <c r="J269" s="41"/>
      <c r="K269" s="41">
        <f t="shared" si="37"/>
        <v>601.43000000000006</v>
      </c>
      <c r="L269" s="41">
        <f t="shared" si="38"/>
        <v>9326.11</v>
      </c>
      <c r="M269" s="41">
        <f t="shared" si="39"/>
        <v>1428146.4999999998</v>
      </c>
      <c r="N269" s="363">
        <f t="shared" si="44"/>
        <v>0</v>
      </c>
      <c r="O269" s="43" t="s">
        <v>3309</v>
      </c>
      <c r="P269" s="43"/>
      <c r="R269" s="41">
        <f t="shared" si="40"/>
        <v>0</v>
      </c>
      <c r="S269" s="41">
        <f t="shared" si="41"/>
        <v>0</v>
      </c>
      <c r="T269" s="41">
        <f t="shared" si="42"/>
        <v>0</v>
      </c>
      <c r="U269" s="41"/>
      <c r="V269" s="44" t="str">
        <f>IF($P269="High",$S269,IF($P269="Mix",SUMIF('High_Low Voltage Mix Summary'!$B$10:$B$17,$B188,'High_Low Voltage Mix Summary'!$D$10:$D$17),""))</f>
        <v/>
      </c>
      <c r="W269" s="44" t="str">
        <f>IF($P269="Low",$S269,IF($P269="Mix",SUMIF('High_Low Voltage Mix Summary'!$B$10:$B$17,$B188,'High_Low Voltage Mix Summary'!$E$10:$E$17),""))</f>
        <v/>
      </c>
      <c r="X269" s="44" t="str">
        <f>IF($P269="High",$T269,IF($P269="Mix",SUMIF('High_Low Voltage Mix Summary'!$B$10:$B$17,$B188,'High_Low Voltage Mix Summary'!$F$10:$F$17),""))</f>
        <v/>
      </c>
      <c r="Y269" s="44" t="str">
        <f>IF($P269="Low",$T269,IF($P269="Mix",SUMIF('High_Low Voltage Mix Summary'!$B$10:$B$17,$B188,'High_Low Voltage Mix Summary'!$G$10:$G$17),""))</f>
        <v/>
      </c>
      <c r="Z269" s="44" t="str">
        <f>IF(OR($P269="High",$P269="Low"),"",IF($P269="Mix",SUMIF('High_Low Voltage Mix Summary'!$B$10:$B$17,$B188,'High_Low Voltage Mix Summary'!$H$10:$H$17),""))</f>
        <v/>
      </c>
      <c r="AB269" s="49">
        <f>SUMIF('Antelope Bailey Split BA'!$B$7:$B$29,B269,'Antelope Bailey Split BA'!$C$7:$C$29)</f>
        <v>0</v>
      </c>
      <c r="AC269" s="49" t="str">
        <f>IF(AND(AB269=1,'Plant Total by Account'!$H$1=2),"EKWRA","")</f>
        <v/>
      </c>
    </row>
    <row r="270" spans="1:29" x14ac:dyDescent="0.2">
      <c r="A270" s="39" t="s">
        <v>2813</v>
      </c>
      <c r="B270" s="45" t="s">
        <v>365</v>
      </c>
      <c r="C270" s="40" t="s">
        <v>3334</v>
      </c>
      <c r="D270" s="53">
        <v>2554.34</v>
      </c>
      <c r="E270" s="53">
        <v>7357.9</v>
      </c>
      <c r="F270" s="53">
        <v>333257.92</v>
      </c>
      <c r="G270" s="578">
        <f t="shared" si="43"/>
        <v>343170.16</v>
      </c>
      <c r="H270" s="41"/>
      <c r="I270" s="41"/>
      <c r="J270" s="41"/>
      <c r="K270" s="41">
        <f t="shared" si="37"/>
        <v>2554.34</v>
      </c>
      <c r="L270" s="41">
        <f t="shared" si="38"/>
        <v>7357.9</v>
      </c>
      <c r="M270" s="41">
        <f t="shared" si="39"/>
        <v>333257.92</v>
      </c>
      <c r="N270" s="363">
        <f t="shared" si="44"/>
        <v>0</v>
      </c>
      <c r="O270" s="43" t="s">
        <v>3309</v>
      </c>
      <c r="P270" s="43"/>
      <c r="R270" s="41">
        <f t="shared" si="40"/>
        <v>0</v>
      </c>
      <c r="S270" s="41">
        <f t="shared" si="41"/>
        <v>0</v>
      </c>
      <c r="T270" s="41">
        <f t="shared" si="42"/>
        <v>0</v>
      </c>
      <c r="U270" s="41"/>
      <c r="V270" s="44" t="str">
        <f>IF($P270="High",$S270,IF($P270="Mix",SUMIF('High_Low Voltage Mix Summary'!$B$10:$B$17,$B189,'High_Low Voltage Mix Summary'!$D$10:$D$17),""))</f>
        <v/>
      </c>
      <c r="W270" s="44" t="str">
        <f>IF($P270="Low",$S270,IF($P270="Mix",SUMIF('High_Low Voltage Mix Summary'!$B$10:$B$17,$B189,'High_Low Voltage Mix Summary'!$E$10:$E$17),""))</f>
        <v/>
      </c>
      <c r="X270" s="44" t="str">
        <f>IF($P270="High",$T270,IF($P270="Mix",SUMIF('High_Low Voltage Mix Summary'!$B$10:$B$17,$B189,'High_Low Voltage Mix Summary'!$F$10:$F$17),""))</f>
        <v/>
      </c>
      <c r="Y270" s="44" t="str">
        <f>IF($P270="Low",$T270,IF($P270="Mix",SUMIF('High_Low Voltage Mix Summary'!$B$10:$B$17,$B189,'High_Low Voltage Mix Summary'!$G$10:$G$17),""))</f>
        <v/>
      </c>
      <c r="Z270" s="44" t="str">
        <f>IF(OR($P270="High",$P270="Low"),"",IF($P270="Mix",SUMIF('High_Low Voltage Mix Summary'!$B$10:$B$17,$B189,'High_Low Voltage Mix Summary'!$H$10:$H$17),""))</f>
        <v/>
      </c>
      <c r="AB270" s="49">
        <f>SUMIF('Antelope Bailey Split BA'!$B$7:$B$29,B270,'Antelope Bailey Split BA'!$C$7:$C$29)</f>
        <v>0</v>
      </c>
      <c r="AC270" s="49" t="str">
        <f>IF(AND(AB270=1,'Plant Total by Account'!$H$1=2),"EKWRA","")</f>
        <v/>
      </c>
    </row>
    <row r="271" spans="1:29" x14ac:dyDescent="0.2">
      <c r="A271" s="39" t="s">
        <v>2814</v>
      </c>
      <c r="B271" s="45" t="s">
        <v>366</v>
      </c>
      <c r="C271" s="40" t="s">
        <v>3334</v>
      </c>
      <c r="D271" s="53">
        <v>4388.67</v>
      </c>
      <c r="E271" s="53">
        <v>179742.66</v>
      </c>
      <c r="F271" s="53">
        <v>3727604.61</v>
      </c>
      <c r="G271" s="578">
        <f t="shared" si="43"/>
        <v>3911735.94</v>
      </c>
      <c r="H271" s="41"/>
      <c r="I271" s="41"/>
      <c r="J271" s="41"/>
      <c r="K271" s="41">
        <f t="shared" ref="K271:K334" si="45">D271</f>
        <v>4388.67</v>
      </c>
      <c r="L271" s="41">
        <f t="shared" ref="L271:L334" si="46">E271</f>
        <v>179742.66</v>
      </c>
      <c r="M271" s="41">
        <f t="shared" ref="M271:M334" si="47">F271</f>
        <v>3727604.61</v>
      </c>
      <c r="N271" s="363">
        <f t="shared" si="44"/>
        <v>0</v>
      </c>
      <c r="O271" s="43" t="s">
        <v>3309</v>
      </c>
      <c r="P271" s="43"/>
      <c r="R271" s="41">
        <f t="shared" si="40"/>
        <v>0</v>
      </c>
      <c r="S271" s="41">
        <f t="shared" si="41"/>
        <v>0</v>
      </c>
      <c r="T271" s="41">
        <f t="shared" si="42"/>
        <v>0</v>
      </c>
      <c r="U271" s="41"/>
      <c r="V271" s="44" t="str">
        <f>IF($P271="High",$S271,IF($P271="Mix",SUMIF('High_Low Voltage Mix Summary'!$B$10:$B$17,$B190,'High_Low Voltage Mix Summary'!$D$10:$D$17),""))</f>
        <v/>
      </c>
      <c r="W271" s="44" t="str">
        <f>IF($P271="Low",$S271,IF($P271="Mix",SUMIF('High_Low Voltage Mix Summary'!$B$10:$B$17,$B190,'High_Low Voltage Mix Summary'!$E$10:$E$17),""))</f>
        <v/>
      </c>
      <c r="X271" s="44" t="str">
        <f>IF($P271="High",$T271,IF($P271="Mix",SUMIF('High_Low Voltage Mix Summary'!$B$10:$B$17,$B190,'High_Low Voltage Mix Summary'!$F$10:$F$17),""))</f>
        <v/>
      </c>
      <c r="Y271" s="44" t="str">
        <f>IF($P271="Low",$T271,IF($P271="Mix",SUMIF('High_Low Voltage Mix Summary'!$B$10:$B$17,$B190,'High_Low Voltage Mix Summary'!$G$10:$G$17),""))</f>
        <v/>
      </c>
      <c r="Z271" s="44" t="str">
        <f>IF(OR($P271="High",$P271="Low"),"",IF($P271="Mix",SUMIF('High_Low Voltage Mix Summary'!$B$10:$B$17,$B190,'High_Low Voltage Mix Summary'!$H$10:$H$17),""))</f>
        <v/>
      </c>
      <c r="AB271" s="49">
        <f>SUMIF('Antelope Bailey Split BA'!$B$7:$B$29,B271,'Antelope Bailey Split BA'!$C$7:$C$29)</f>
        <v>0</v>
      </c>
      <c r="AC271" s="49" t="str">
        <f>IF(AND(AB271=1,'Plant Total by Account'!$H$1=2),"EKWRA","")</f>
        <v/>
      </c>
    </row>
    <row r="272" spans="1:29" x14ac:dyDescent="0.2">
      <c r="A272" s="39" t="s">
        <v>2815</v>
      </c>
      <c r="B272" s="45" t="s">
        <v>367</v>
      </c>
      <c r="C272" s="40" t="s">
        <v>3334</v>
      </c>
      <c r="D272" s="53">
        <v>0</v>
      </c>
      <c r="E272" s="53">
        <v>6319.26</v>
      </c>
      <c r="F272" s="53">
        <v>850693.30999999994</v>
      </c>
      <c r="G272" s="578">
        <f t="shared" si="43"/>
        <v>857012.57</v>
      </c>
      <c r="H272" s="41"/>
      <c r="I272" s="41"/>
      <c r="J272" s="41"/>
      <c r="K272" s="41">
        <f t="shared" si="45"/>
        <v>0</v>
      </c>
      <c r="L272" s="41">
        <f t="shared" si="46"/>
        <v>6319.26</v>
      </c>
      <c r="M272" s="41">
        <f t="shared" si="47"/>
        <v>850693.30999999994</v>
      </c>
      <c r="N272" s="363">
        <f t="shared" si="44"/>
        <v>0</v>
      </c>
      <c r="O272" s="43" t="s">
        <v>3309</v>
      </c>
      <c r="P272" s="43"/>
      <c r="R272" s="41">
        <f t="shared" si="40"/>
        <v>0</v>
      </c>
      <c r="S272" s="41">
        <f t="shared" si="41"/>
        <v>0</v>
      </c>
      <c r="T272" s="41">
        <f t="shared" si="42"/>
        <v>0</v>
      </c>
      <c r="U272" s="41"/>
      <c r="V272" s="44" t="str">
        <f>IF($P272="High",$S272,IF($P272="Mix",SUMIF('High_Low Voltage Mix Summary'!$B$10:$B$17,$B191,'High_Low Voltage Mix Summary'!$D$10:$D$17),""))</f>
        <v/>
      </c>
      <c r="W272" s="44" t="str">
        <f>IF($P272="Low",$S272,IF($P272="Mix",SUMIF('High_Low Voltage Mix Summary'!$B$10:$B$17,$B191,'High_Low Voltage Mix Summary'!$E$10:$E$17),""))</f>
        <v/>
      </c>
      <c r="X272" s="44" t="str">
        <f>IF($P272="High",$T272,IF($P272="Mix",SUMIF('High_Low Voltage Mix Summary'!$B$10:$B$17,$B191,'High_Low Voltage Mix Summary'!$F$10:$F$17),""))</f>
        <v/>
      </c>
      <c r="Y272" s="44" t="str">
        <f>IF($P272="Low",$T272,IF($P272="Mix",SUMIF('High_Low Voltage Mix Summary'!$B$10:$B$17,$B191,'High_Low Voltage Mix Summary'!$G$10:$G$17),""))</f>
        <v/>
      </c>
      <c r="Z272" s="44" t="str">
        <f>IF(OR($P272="High",$P272="Low"),"",IF($P272="Mix",SUMIF('High_Low Voltage Mix Summary'!$B$10:$B$17,$B191,'High_Low Voltage Mix Summary'!$H$10:$H$17),""))</f>
        <v/>
      </c>
      <c r="AB272" s="49">
        <f>SUMIF('Antelope Bailey Split BA'!$B$7:$B$29,B272,'Antelope Bailey Split BA'!$C$7:$C$29)</f>
        <v>0</v>
      </c>
      <c r="AC272" s="49" t="str">
        <f>IF(AND(AB272=1,'Plant Total by Account'!$H$1=2),"EKWRA","")</f>
        <v/>
      </c>
    </row>
    <row r="273" spans="1:29" x14ac:dyDescent="0.2">
      <c r="A273" s="39" t="s">
        <v>2816</v>
      </c>
      <c r="B273" s="45" t="s">
        <v>368</v>
      </c>
      <c r="C273" s="40" t="s">
        <v>3334</v>
      </c>
      <c r="D273" s="53">
        <v>2251.48</v>
      </c>
      <c r="E273" s="53">
        <v>15885.64</v>
      </c>
      <c r="F273" s="53">
        <v>536706.74</v>
      </c>
      <c r="G273" s="578">
        <f t="shared" si="43"/>
        <v>554843.86</v>
      </c>
      <c r="H273" s="41"/>
      <c r="I273" s="41"/>
      <c r="J273" s="41"/>
      <c r="K273" s="41">
        <f t="shared" si="45"/>
        <v>2251.48</v>
      </c>
      <c r="L273" s="41">
        <f t="shared" si="46"/>
        <v>15885.64</v>
      </c>
      <c r="M273" s="41">
        <f t="shared" si="47"/>
        <v>536706.74</v>
      </c>
      <c r="N273" s="363">
        <f t="shared" si="44"/>
        <v>0</v>
      </c>
      <c r="O273" s="43" t="s">
        <v>3309</v>
      </c>
      <c r="P273" s="43"/>
      <c r="R273" s="41">
        <f t="shared" si="40"/>
        <v>0</v>
      </c>
      <c r="S273" s="41">
        <f t="shared" si="41"/>
        <v>0</v>
      </c>
      <c r="T273" s="41">
        <f t="shared" si="42"/>
        <v>0</v>
      </c>
      <c r="U273" s="41"/>
      <c r="V273" s="44" t="str">
        <f>IF($P273="High",$S273,IF($P273="Mix",SUMIF('High_Low Voltage Mix Summary'!$B$10:$B$17,$B192,'High_Low Voltage Mix Summary'!$D$10:$D$17),""))</f>
        <v/>
      </c>
      <c r="W273" s="44" t="str">
        <f>IF($P273="Low",$S273,IF($P273="Mix",SUMIF('High_Low Voltage Mix Summary'!$B$10:$B$17,$B192,'High_Low Voltage Mix Summary'!$E$10:$E$17),""))</f>
        <v/>
      </c>
      <c r="X273" s="44" t="str">
        <f>IF($P273="High",$T273,IF($P273="Mix",SUMIF('High_Low Voltage Mix Summary'!$B$10:$B$17,$B192,'High_Low Voltage Mix Summary'!$F$10:$F$17),""))</f>
        <v/>
      </c>
      <c r="Y273" s="44" t="str">
        <f>IF($P273="Low",$T273,IF($P273="Mix",SUMIF('High_Low Voltage Mix Summary'!$B$10:$B$17,$B192,'High_Low Voltage Mix Summary'!$G$10:$G$17),""))</f>
        <v/>
      </c>
      <c r="Z273" s="44" t="str">
        <f>IF(OR($P273="High",$P273="Low"),"",IF($P273="Mix",SUMIF('High_Low Voltage Mix Summary'!$B$10:$B$17,$B192,'High_Low Voltage Mix Summary'!$H$10:$H$17),""))</f>
        <v/>
      </c>
      <c r="AB273" s="49">
        <f>SUMIF('Antelope Bailey Split BA'!$B$7:$B$29,B273,'Antelope Bailey Split BA'!$C$7:$C$29)</f>
        <v>0</v>
      </c>
      <c r="AC273" s="49" t="str">
        <f>IF(AND(AB273=1,'Plant Total by Account'!$H$1=2),"EKWRA","")</f>
        <v/>
      </c>
    </row>
    <row r="274" spans="1:29" x14ac:dyDescent="0.2">
      <c r="A274" s="39" t="s">
        <v>2817</v>
      </c>
      <c r="B274" s="45" t="s">
        <v>369</v>
      </c>
      <c r="C274" s="40" t="s">
        <v>3334</v>
      </c>
      <c r="D274" s="53">
        <v>1554.23</v>
      </c>
      <c r="E274" s="53">
        <v>83137.540000000008</v>
      </c>
      <c r="F274" s="53">
        <v>5400520.8000000007</v>
      </c>
      <c r="G274" s="578">
        <f t="shared" si="43"/>
        <v>5485212.5700000003</v>
      </c>
      <c r="H274" s="41"/>
      <c r="I274" s="41"/>
      <c r="J274" s="41"/>
      <c r="K274" s="41">
        <f t="shared" si="45"/>
        <v>1554.23</v>
      </c>
      <c r="L274" s="41">
        <f t="shared" si="46"/>
        <v>83137.540000000008</v>
      </c>
      <c r="M274" s="41">
        <f t="shared" si="47"/>
        <v>5400520.8000000007</v>
      </c>
      <c r="N274" s="363">
        <f t="shared" si="44"/>
        <v>0</v>
      </c>
      <c r="O274" s="43" t="s">
        <v>3309</v>
      </c>
      <c r="P274" s="43"/>
      <c r="R274" s="41">
        <f t="shared" si="40"/>
        <v>0</v>
      </c>
      <c r="S274" s="41">
        <f t="shared" si="41"/>
        <v>0</v>
      </c>
      <c r="T274" s="41">
        <f t="shared" si="42"/>
        <v>0</v>
      </c>
      <c r="U274" s="41"/>
      <c r="V274" s="44" t="str">
        <f>IF($P274="High",$S274,IF($P274="Mix",SUMIF('High_Low Voltage Mix Summary'!$B$10:$B$17,$B193,'High_Low Voltage Mix Summary'!$D$10:$D$17),""))</f>
        <v/>
      </c>
      <c r="W274" s="44" t="str">
        <f>IF($P274="Low",$S274,IF($P274="Mix",SUMIF('High_Low Voltage Mix Summary'!$B$10:$B$17,$B193,'High_Low Voltage Mix Summary'!$E$10:$E$17),""))</f>
        <v/>
      </c>
      <c r="X274" s="44" t="str">
        <f>IF($P274="High",$T274,IF($P274="Mix",SUMIF('High_Low Voltage Mix Summary'!$B$10:$B$17,$B193,'High_Low Voltage Mix Summary'!$F$10:$F$17),""))</f>
        <v/>
      </c>
      <c r="Y274" s="44" t="str">
        <f>IF($P274="Low",$T274,IF($P274="Mix",SUMIF('High_Low Voltage Mix Summary'!$B$10:$B$17,$B193,'High_Low Voltage Mix Summary'!$G$10:$G$17),""))</f>
        <v/>
      </c>
      <c r="Z274" s="44" t="str">
        <f>IF(OR($P274="High",$P274="Low"),"",IF($P274="Mix",SUMIF('High_Low Voltage Mix Summary'!$B$10:$B$17,$B193,'High_Low Voltage Mix Summary'!$H$10:$H$17),""))</f>
        <v/>
      </c>
      <c r="AB274" s="49">
        <f>SUMIF('Antelope Bailey Split BA'!$B$7:$B$29,B274,'Antelope Bailey Split BA'!$C$7:$C$29)</f>
        <v>0</v>
      </c>
      <c r="AC274" s="49" t="str">
        <f>IF(AND(AB274=1,'Plant Total by Account'!$H$1=2),"EKWRA","")</f>
        <v/>
      </c>
    </row>
    <row r="275" spans="1:29" x14ac:dyDescent="0.2">
      <c r="A275" s="39" t="s">
        <v>2818</v>
      </c>
      <c r="B275" s="45" t="s">
        <v>370</v>
      </c>
      <c r="C275" s="40" t="s">
        <v>3334</v>
      </c>
      <c r="D275" s="53">
        <v>1249.6100000000001</v>
      </c>
      <c r="E275" s="53">
        <v>260101.68</v>
      </c>
      <c r="F275" s="53">
        <v>8269895.3200000012</v>
      </c>
      <c r="G275" s="578">
        <f t="shared" si="43"/>
        <v>8531246.6100000013</v>
      </c>
      <c r="H275" s="41"/>
      <c r="I275" s="41"/>
      <c r="J275" s="41"/>
      <c r="K275" s="41">
        <f t="shared" si="45"/>
        <v>1249.6100000000001</v>
      </c>
      <c r="L275" s="41">
        <f t="shared" si="46"/>
        <v>260101.68</v>
      </c>
      <c r="M275" s="41">
        <f t="shared" si="47"/>
        <v>8269895.3200000012</v>
      </c>
      <c r="N275" s="363">
        <f t="shared" si="44"/>
        <v>0</v>
      </c>
      <c r="O275" s="43" t="s">
        <v>3309</v>
      </c>
      <c r="P275" s="43"/>
      <c r="R275" s="41">
        <f t="shared" si="40"/>
        <v>0</v>
      </c>
      <c r="S275" s="41">
        <f t="shared" si="41"/>
        <v>0</v>
      </c>
      <c r="T275" s="41">
        <f t="shared" si="42"/>
        <v>0</v>
      </c>
      <c r="U275" s="41"/>
      <c r="V275" s="44" t="str">
        <f>IF($P275="High",$S275,IF($P275="Mix",SUMIF('High_Low Voltage Mix Summary'!$B$10:$B$17,$B194,'High_Low Voltage Mix Summary'!$D$10:$D$17),""))</f>
        <v/>
      </c>
      <c r="W275" s="44" t="str">
        <f>IF($P275="Low",$S275,IF($P275="Mix",SUMIF('High_Low Voltage Mix Summary'!$B$10:$B$17,$B194,'High_Low Voltage Mix Summary'!$E$10:$E$17),""))</f>
        <v/>
      </c>
      <c r="X275" s="44" t="str">
        <f>IF($P275="High",$T275,IF($P275="Mix",SUMIF('High_Low Voltage Mix Summary'!$B$10:$B$17,$B194,'High_Low Voltage Mix Summary'!$F$10:$F$17),""))</f>
        <v/>
      </c>
      <c r="Y275" s="44" t="str">
        <f>IF($P275="Low",$T275,IF($P275="Mix",SUMIF('High_Low Voltage Mix Summary'!$B$10:$B$17,$B194,'High_Low Voltage Mix Summary'!$G$10:$G$17),""))</f>
        <v/>
      </c>
      <c r="Z275" s="44" t="str">
        <f>IF(OR($P275="High",$P275="Low"),"",IF($P275="Mix",SUMIF('High_Low Voltage Mix Summary'!$B$10:$B$17,$B194,'High_Low Voltage Mix Summary'!$H$10:$H$17),""))</f>
        <v/>
      </c>
      <c r="AB275" s="49">
        <f>SUMIF('Antelope Bailey Split BA'!$B$7:$B$29,B275,'Antelope Bailey Split BA'!$C$7:$C$29)</f>
        <v>0</v>
      </c>
      <c r="AC275" s="49" t="str">
        <f>IF(AND(AB275=1,'Plant Total by Account'!$H$1=2),"EKWRA","")</f>
        <v/>
      </c>
    </row>
    <row r="276" spans="1:29" x14ac:dyDescent="0.2">
      <c r="A276" s="39" t="s">
        <v>2819</v>
      </c>
      <c r="B276" s="45" t="s">
        <v>371</v>
      </c>
      <c r="C276" s="40" t="s">
        <v>3334</v>
      </c>
      <c r="D276" s="53">
        <v>710.67</v>
      </c>
      <c r="E276" s="53">
        <v>277840.62</v>
      </c>
      <c r="F276" s="53">
        <v>3322056.5900000003</v>
      </c>
      <c r="G276" s="578">
        <f t="shared" si="43"/>
        <v>3600607.8800000004</v>
      </c>
      <c r="H276" s="41"/>
      <c r="I276" s="41"/>
      <c r="J276" s="41"/>
      <c r="K276" s="41">
        <f t="shared" si="45"/>
        <v>710.67</v>
      </c>
      <c r="L276" s="41">
        <f t="shared" si="46"/>
        <v>277840.62</v>
      </c>
      <c r="M276" s="41">
        <f t="shared" si="47"/>
        <v>3322056.5900000003</v>
      </c>
      <c r="N276" s="363">
        <f t="shared" si="44"/>
        <v>0</v>
      </c>
      <c r="O276" s="43" t="s">
        <v>3309</v>
      </c>
      <c r="P276" s="43"/>
      <c r="R276" s="41">
        <f t="shared" si="40"/>
        <v>0</v>
      </c>
      <c r="S276" s="41">
        <f t="shared" si="41"/>
        <v>0</v>
      </c>
      <c r="T276" s="41">
        <f t="shared" si="42"/>
        <v>0</v>
      </c>
      <c r="U276" s="41"/>
      <c r="V276" s="44" t="str">
        <f>IF($P276="High",$S276,IF($P276="Mix",SUMIF('High_Low Voltage Mix Summary'!$B$10:$B$17,$B195,'High_Low Voltage Mix Summary'!$D$10:$D$17),""))</f>
        <v/>
      </c>
      <c r="W276" s="44" t="str">
        <f>IF($P276="Low",$S276,IF($P276="Mix",SUMIF('High_Low Voltage Mix Summary'!$B$10:$B$17,$B195,'High_Low Voltage Mix Summary'!$E$10:$E$17),""))</f>
        <v/>
      </c>
      <c r="X276" s="44" t="str">
        <f>IF($P276="High",$T276,IF($P276="Mix",SUMIF('High_Low Voltage Mix Summary'!$B$10:$B$17,$B195,'High_Low Voltage Mix Summary'!$F$10:$F$17),""))</f>
        <v/>
      </c>
      <c r="Y276" s="44" t="str">
        <f>IF($P276="Low",$T276,IF($P276="Mix",SUMIF('High_Low Voltage Mix Summary'!$B$10:$B$17,$B195,'High_Low Voltage Mix Summary'!$G$10:$G$17),""))</f>
        <v/>
      </c>
      <c r="Z276" s="44" t="str">
        <f>IF(OR($P276="High",$P276="Low"),"",IF($P276="Mix",SUMIF('High_Low Voltage Mix Summary'!$B$10:$B$17,$B195,'High_Low Voltage Mix Summary'!$H$10:$H$17),""))</f>
        <v/>
      </c>
      <c r="AB276" s="49">
        <f>SUMIF('Antelope Bailey Split BA'!$B$7:$B$29,B276,'Antelope Bailey Split BA'!$C$7:$C$29)</f>
        <v>0</v>
      </c>
      <c r="AC276" s="49" t="str">
        <f>IF(AND(AB276=1,'Plant Total by Account'!$H$1=2),"EKWRA","")</f>
        <v/>
      </c>
    </row>
    <row r="277" spans="1:29" x14ac:dyDescent="0.2">
      <c r="A277" s="39" t="s">
        <v>2820</v>
      </c>
      <c r="B277" s="45" t="s">
        <v>372</v>
      </c>
      <c r="C277" s="40" t="s">
        <v>3334</v>
      </c>
      <c r="D277" s="53">
        <v>2929.65</v>
      </c>
      <c r="E277" s="53">
        <v>260258.22999999995</v>
      </c>
      <c r="F277" s="53">
        <v>8163277.7500000093</v>
      </c>
      <c r="G277" s="578">
        <f t="shared" si="43"/>
        <v>8426465.6300000101</v>
      </c>
      <c r="H277" s="41"/>
      <c r="I277" s="41"/>
      <c r="J277" s="41"/>
      <c r="K277" s="41">
        <f t="shared" si="45"/>
        <v>2929.65</v>
      </c>
      <c r="L277" s="41">
        <f t="shared" si="46"/>
        <v>260258.22999999995</v>
      </c>
      <c r="M277" s="41">
        <f t="shared" si="47"/>
        <v>8163277.7500000093</v>
      </c>
      <c r="N277" s="363">
        <f t="shared" si="44"/>
        <v>0</v>
      </c>
      <c r="O277" s="43" t="s">
        <v>3309</v>
      </c>
      <c r="P277" s="43"/>
      <c r="R277" s="41">
        <f t="shared" si="40"/>
        <v>0</v>
      </c>
      <c r="S277" s="41">
        <f t="shared" si="41"/>
        <v>0</v>
      </c>
      <c r="T277" s="41">
        <f t="shared" si="42"/>
        <v>0</v>
      </c>
      <c r="U277" s="41"/>
      <c r="V277" s="44" t="str">
        <f>IF($P277="High",$S277,IF($P277="Mix",SUMIF('High_Low Voltage Mix Summary'!$B$10:$B$17,$B196,'High_Low Voltage Mix Summary'!$D$10:$D$17),""))</f>
        <v/>
      </c>
      <c r="W277" s="44" t="str">
        <f>IF($P277="Low",$S277,IF($P277="Mix",SUMIF('High_Low Voltage Mix Summary'!$B$10:$B$17,$B196,'High_Low Voltage Mix Summary'!$E$10:$E$17),""))</f>
        <v/>
      </c>
      <c r="X277" s="44" t="str">
        <f>IF($P277="High",$T277,IF($P277="Mix",SUMIF('High_Low Voltage Mix Summary'!$B$10:$B$17,$B196,'High_Low Voltage Mix Summary'!$F$10:$F$17),""))</f>
        <v/>
      </c>
      <c r="Y277" s="44" t="str">
        <f>IF($P277="Low",$T277,IF($P277="Mix",SUMIF('High_Low Voltage Mix Summary'!$B$10:$B$17,$B196,'High_Low Voltage Mix Summary'!$G$10:$G$17),""))</f>
        <v/>
      </c>
      <c r="Z277" s="44" t="str">
        <f>IF(OR($P277="High",$P277="Low"),"",IF($P277="Mix",SUMIF('High_Low Voltage Mix Summary'!$B$10:$B$17,$B196,'High_Low Voltage Mix Summary'!$H$10:$H$17),""))</f>
        <v/>
      </c>
      <c r="AB277" s="49">
        <f>SUMIF('Antelope Bailey Split BA'!$B$7:$B$29,B277,'Antelope Bailey Split BA'!$C$7:$C$29)</f>
        <v>0</v>
      </c>
      <c r="AC277" s="49" t="str">
        <f>IF(AND(AB277=1,'Plant Total by Account'!$H$1=2),"EKWRA","")</f>
        <v/>
      </c>
    </row>
    <row r="278" spans="1:29" x14ac:dyDescent="0.2">
      <c r="A278" s="39" t="s">
        <v>2821</v>
      </c>
      <c r="B278" s="45" t="s">
        <v>373</v>
      </c>
      <c r="C278" s="40" t="s">
        <v>3334</v>
      </c>
      <c r="D278" s="53">
        <v>32745.94</v>
      </c>
      <c r="E278" s="53">
        <v>27723.05</v>
      </c>
      <c r="F278" s="53">
        <v>568653.08000000007</v>
      </c>
      <c r="G278" s="578">
        <f t="shared" si="43"/>
        <v>629122.07000000007</v>
      </c>
      <c r="H278" s="41"/>
      <c r="I278" s="41"/>
      <c r="J278" s="41"/>
      <c r="K278" s="41">
        <f t="shared" si="45"/>
        <v>32745.94</v>
      </c>
      <c r="L278" s="41">
        <f t="shared" si="46"/>
        <v>27723.05</v>
      </c>
      <c r="M278" s="41">
        <f t="shared" si="47"/>
        <v>568653.08000000007</v>
      </c>
      <c r="N278" s="363">
        <f t="shared" si="44"/>
        <v>0</v>
      </c>
      <c r="O278" s="43" t="s">
        <v>3309</v>
      </c>
      <c r="P278" s="43"/>
      <c r="R278" s="41">
        <f t="shared" si="40"/>
        <v>0</v>
      </c>
      <c r="S278" s="41">
        <f t="shared" si="41"/>
        <v>0</v>
      </c>
      <c r="T278" s="41">
        <f t="shared" si="42"/>
        <v>0</v>
      </c>
      <c r="U278" s="41"/>
      <c r="V278" s="44" t="str">
        <f>IF($P278="High",$S278,IF($P278="Mix",SUMIF('High_Low Voltage Mix Summary'!$B$10:$B$17,$B197,'High_Low Voltage Mix Summary'!$D$10:$D$17),""))</f>
        <v/>
      </c>
      <c r="W278" s="44" t="str">
        <f>IF($P278="Low",$S278,IF($P278="Mix",SUMIF('High_Low Voltage Mix Summary'!$B$10:$B$17,$B197,'High_Low Voltage Mix Summary'!$E$10:$E$17),""))</f>
        <v/>
      </c>
      <c r="X278" s="44" t="str">
        <f>IF($P278="High",$T278,IF($P278="Mix",SUMIF('High_Low Voltage Mix Summary'!$B$10:$B$17,$B197,'High_Low Voltage Mix Summary'!$F$10:$F$17),""))</f>
        <v/>
      </c>
      <c r="Y278" s="44" t="str">
        <f>IF($P278="Low",$T278,IF($P278="Mix",SUMIF('High_Low Voltage Mix Summary'!$B$10:$B$17,$B197,'High_Low Voltage Mix Summary'!$G$10:$G$17),""))</f>
        <v/>
      </c>
      <c r="Z278" s="44" t="str">
        <f>IF(OR($P278="High",$P278="Low"),"",IF($P278="Mix",SUMIF('High_Low Voltage Mix Summary'!$B$10:$B$17,$B197,'High_Low Voltage Mix Summary'!$H$10:$H$17),""))</f>
        <v/>
      </c>
      <c r="AB278" s="49">
        <f>SUMIF('Antelope Bailey Split BA'!$B$7:$B$29,B278,'Antelope Bailey Split BA'!$C$7:$C$29)</f>
        <v>0</v>
      </c>
      <c r="AC278" s="49" t="str">
        <f>IF(AND(AB278=1,'Plant Total by Account'!$H$1=2),"EKWRA","")</f>
        <v/>
      </c>
    </row>
    <row r="279" spans="1:29" x14ac:dyDescent="0.2">
      <c r="A279" s="39" t="s">
        <v>2419</v>
      </c>
      <c r="B279" s="45" t="s">
        <v>374</v>
      </c>
      <c r="C279" s="40" t="s">
        <v>3334</v>
      </c>
      <c r="D279" s="53">
        <v>2536.8000000000002</v>
      </c>
      <c r="E279" s="53">
        <v>58015.34</v>
      </c>
      <c r="F279" s="53">
        <v>2194284.7200000007</v>
      </c>
      <c r="G279" s="578">
        <f t="shared" si="43"/>
        <v>2254836.8600000008</v>
      </c>
      <c r="H279" s="41"/>
      <c r="I279" s="41"/>
      <c r="J279" s="41"/>
      <c r="K279" s="41">
        <f t="shared" si="45"/>
        <v>2536.8000000000002</v>
      </c>
      <c r="L279" s="41">
        <f t="shared" si="46"/>
        <v>58015.34</v>
      </c>
      <c r="M279" s="41">
        <f t="shared" si="47"/>
        <v>2194284.7200000007</v>
      </c>
      <c r="N279" s="363">
        <f t="shared" si="44"/>
        <v>0</v>
      </c>
      <c r="O279" s="43" t="s">
        <v>3309</v>
      </c>
      <c r="P279" s="43"/>
      <c r="R279" s="41">
        <f t="shared" si="40"/>
        <v>0</v>
      </c>
      <c r="S279" s="41">
        <f t="shared" si="41"/>
        <v>0</v>
      </c>
      <c r="T279" s="41">
        <f t="shared" si="42"/>
        <v>0</v>
      </c>
      <c r="U279" s="41"/>
      <c r="V279" s="44" t="str">
        <f>IF($P279="High",$S279,IF($P279="Mix",SUMIF('High_Low Voltage Mix Summary'!$B$10:$B$17,$B198,'High_Low Voltage Mix Summary'!$D$10:$D$17),""))</f>
        <v/>
      </c>
      <c r="W279" s="44" t="str">
        <f>IF($P279="Low",$S279,IF($P279="Mix",SUMIF('High_Low Voltage Mix Summary'!$B$10:$B$17,$B198,'High_Low Voltage Mix Summary'!$E$10:$E$17),""))</f>
        <v/>
      </c>
      <c r="X279" s="44" t="str">
        <f>IF($P279="High",$T279,IF($P279="Mix",SUMIF('High_Low Voltage Mix Summary'!$B$10:$B$17,$B198,'High_Low Voltage Mix Summary'!$F$10:$F$17),""))</f>
        <v/>
      </c>
      <c r="Y279" s="44" t="str">
        <f>IF($P279="Low",$T279,IF($P279="Mix",SUMIF('High_Low Voltage Mix Summary'!$B$10:$B$17,$B198,'High_Low Voltage Mix Summary'!$G$10:$G$17),""))</f>
        <v/>
      </c>
      <c r="Z279" s="44" t="str">
        <f>IF(OR($P279="High",$P279="Low"),"",IF($P279="Mix",SUMIF('High_Low Voltage Mix Summary'!$B$10:$B$17,$B198,'High_Low Voltage Mix Summary'!$H$10:$H$17),""))</f>
        <v/>
      </c>
      <c r="AB279" s="49">
        <f>SUMIF('Antelope Bailey Split BA'!$B$7:$B$29,B279,'Antelope Bailey Split BA'!$C$7:$C$29)</f>
        <v>0</v>
      </c>
      <c r="AC279" s="49" t="str">
        <f>IF(AND(AB279=1,'Plant Total by Account'!$H$1=2),"EKWRA","")</f>
        <v/>
      </c>
    </row>
    <row r="280" spans="1:29" x14ac:dyDescent="0.2">
      <c r="A280" s="39" t="s">
        <v>2822</v>
      </c>
      <c r="B280" s="45" t="s">
        <v>375</v>
      </c>
      <c r="C280" s="40" t="s">
        <v>3334</v>
      </c>
      <c r="D280" s="53">
        <v>300</v>
      </c>
      <c r="E280" s="53">
        <v>57465.64</v>
      </c>
      <c r="F280" s="53">
        <v>752920.73</v>
      </c>
      <c r="G280" s="578">
        <f t="shared" si="43"/>
        <v>810686.37</v>
      </c>
      <c r="H280" s="41"/>
      <c r="I280" s="41"/>
      <c r="J280" s="41"/>
      <c r="K280" s="41">
        <f t="shared" si="45"/>
        <v>300</v>
      </c>
      <c r="L280" s="41">
        <f t="shared" si="46"/>
        <v>57465.64</v>
      </c>
      <c r="M280" s="41">
        <f t="shared" si="47"/>
        <v>752920.73</v>
      </c>
      <c r="N280" s="363">
        <f t="shared" si="44"/>
        <v>0</v>
      </c>
      <c r="O280" s="43" t="s">
        <v>3309</v>
      </c>
      <c r="P280" s="43"/>
      <c r="R280" s="41">
        <f t="shared" si="40"/>
        <v>0</v>
      </c>
      <c r="S280" s="41">
        <f t="shared" si="41"/>
        <v>0</v>
      </c>
      <c r="T280" s="41">
        <f t="shared" si="42"/>
        <v>0</v>
      </c>
      <c r="U280" s="41"/>
      <c r="V280" s="44" t="str">
        <f>IF($P280="High",$S280,IF($P280="Mix",SUMIF('High_Low Voltage Mix Summary'!$B$10:$B$17,$B199,'High_Low Voltage Mix Summary'!$D$10:$D$17),""))</f>
        <v/>
      </c>
      <c r="W280" s="44" t="str">
        <f>IF($P280="Low",$S280,IF($P280="Mix",SUMIF('High_Low Voltage Mix Summary'!$B$10:$B$17,$B199,'High_Low Voltage Mix Summary'!$E$10:$E$17),""))</f>
        <v/>
      </c>
      <c r="X280" s="44" t="str">
        <f>IF($P280="High",$T280,IF($P280="Mix",SUMIF('High_Low Voltage Mix Summary'!$B$10:$B$17,$B199,'High_Low Voltage Mix Summary'!$F$10:$F$17),""))</f>
        <v/>
      </c>
      <c r="Y280" s="44" t="str">
        <f>IF($P280="Low",$T280,IF($P280="Mix",SUMIF('High_Low Voltage Mix Summary'!$B$10:$B$17,$B199,'High_Low Voltage Mix Summary'!$G$10:$G$17),""))</f>
        <v/>
      </c>
      <c r="Z280" s="44" t="str">
        <f>IF(OR($P280="High",$P280="Low"),"",IF($P280="Mix",SUMIF('High_Low Voltage Mix Summary'!$B$10:$B$17,$B199,'High_Low Voltage Mix Summary'!$H$10:$H$17),""))</f>
        <v/>
      </c>
      <c r="AB280" s="49">
        <f>SUMIF('Antelope Bailey Split BA'!$B$7:$B$29,B280,'Antelope Bailey Split BA'!$C$7:$C$29)</f>
        <v>0</v>
      </c>
      <c r="AC280" s="49" t="str">
        <f>IF(AND(AB280=1,'Plant Total by Account'!$H$1=2),"EKWRA","")</f>
        <v/>
      </c>
    </row>
    <row r="281" spans="1:29" x14ac:dyDescent="0.2">
      <c r="A281" s="39" t="s">
        <v>2823</v>
      </c>
      <c r="B281" s="45" t="s">
        <v>376</v>
      </c>
      <c r="C281" s="40" t="s">
        <v>3334</v>
      </c>
      <c r="D281" s="53">
        <v>501.2</v>
      </c>
      <c r="E281" s="53">
        <v>628390.89999999991</v>
      </c>
      <c r="F281" s="53">
        <v>9504768.5999999978</v>
      </c>
      <c r="G281" s="578">
        <f t="shared" si="43"/>
        <v>10133660.699999997</v>
      </c>
      <c r="H281" s="41"/>
      <c r="I281" s="41"/>
      <c r="J281" s="41"/>
      <c r="K281" s="41">
        <f t="shared" si="45"/>
        <v>501.2</v>
      </c>
      <c r="L281" s="41">
        <f t="shared" si="46"/>
        <v>628390.89999999991</v>
      </c>
      <c r="M281" s="41">
        <f t="shared" si="47"/>
        <v>9504768.5999999978</v>
      </c>
      <c r="N281" s="363">
        <f t="shared" si="44"/>
        <v>0</v>
      </c>
      <c r="O281" s="43" t="s">
        <v>3309</v>
      </c>
      <c r="P281" s="43"/>
      <c r="R281" s="41">
        <f t="shared" si="40"/>
        <v>0</v>
      </c>
      <c r="S281" s="41">
        <f t="shared" si="41"/>
        <v>0</v>
      </c>
      <c r="T281" s="41">
        <f t="shared" si="42"/>
        <v>0</v>
      </c>
      <c r="U281" s="41"/>
      <c r="V281" s="44" t="str">
        <f>IF($P281="High",$S281,IF($P281="Mix",SUMIF('High_Low Voltage Mix Summary'!$B$10:$B$17,$B200,'High_Low Voltage Mix Summary'!$D$10:$D$17),""))</f>
        <v/>
      </c>
      <c r="W281" s="44" t="str">
        <f>IF($P281="Low",$S281,IF($P281="Mix",SUMIF('High_Low Voltage Mix Summary'!$B$10:$B$17,$B200,'High_Low Voltage Mix Summary'!$E$10:$E$17),""))</f>
        <v/>
      </c>
      <c r="X281" s="44" t="str">
        <f>IF($P281="High",$T281,IF($P281="Mix",SUMIF('High_Low Voltage Mix Summary'!$B$10:$B$17,$B200,'High_Low Voltage Mix Summary'!$F$10:$F$17),""))</f>
        <v/>
      </c>
      <c r="Y281" s="44" t="str">
        <f>IF($P281="Low",$T281,IF($P281="Mix",SUMIF('High_Low Voltage Mix Summary'!$B$10:$B$17,$B200,'High_Low Voltage Mix Summary'!$G$10:$G$17),""))</f>
        <v/>
      </c>
      <c r="Z281" s="44" t="str">
        <f>IF(OR($P281="High",$P281="Low"),"",IF($P281="Mix",SUMIF('High_Low Voltage Mix Summary'!$B$10:$B$17,$B200,'High_Low Voltage Mix Summary'!$H$10:$H$17),""))</f>
        <v/>
      </c>
      <c r="AB281" s="49">
        <f>SUMIF('Antelope Bailey Split BA'!$B$7:$B$29,B281,'Antelope Bailey Split BA'!$C$7:$C$29)</f>
        <v>0</v>
      </c>
      <c r="AC281" s="49" t="str">
        <f>IF(AND(AB281=1,'Plant Total by Account'!$H$1=2),"EKWRA","")</f>
        <v/>
      </c>
    </row>
    <row r="282" spans="1:29" x14ac:dyDescent="0.2">
      <c r="A282" s="39" t="s">
        <v>2824</v>
      </c>
      <c r="B282" s="45" t="s">
        <v>377</v>
      </c>
      <c r="C282" s="40" t="s">
        <v>3334</v>
      </c>
      <c r="D282" s="53">
        <v>3522.48</v>
      </c>
      <c r="E282" s="53">
        <v>297450.80000000005</v>
      </c>
      <c r="F282" s="53">
        <v>11289391.599999996</v>
      </c>
      <c r="G282" s="578">
        <f t="shared" si="43"/>
        <v>11590364.879999995</v>
      </c>
      <c r="H282" s="41"/>
      <c r="I282" s="41"/>
      <c r="J282" s="41"/>
      <c r="K282" s="41">
        <f t="shared" si="45"/>
        <v>3522.48</v>
      </c>
      <c r="L282" s="41">
        <f t="shared" si="46"/>
        <v>297450.80000000005</v>
      </c>
      <c r="M282" s="41">
        <f t="shared" si="47"/>
        <v>11289391.599999996</v>
      </c>
      <c r="N282" s="363">
        <f t="shared" si="44"/>
        <v>0</v>
      </c>
      <c r="O282" s="43" t="s">
        <v>3309</v>
      </c>
      <c r="P282" s="43"/>
      <c r="R282" s="41">
        <f t="shared" si="40"/>
        <v>0</v>
      </c>
      <c r="S282" s="41">
        <f t="shared" si="41"/>
        <v>0</v>
      </c>
      <c r="T282" s="41">
        <f t="shared" si="42"/>
        <v>0</v>
      </c>
      <c r="U282" s="41"/>
      <c r="V282" s="44" t="str">
        <f>IF($P282="High",$S282,IF($P282="Mix",SUMIF('High_Low Voltage Mix Summary'!$B$10:$B$17,$B201,'High_Low Voltage Mix Summary'!$D$10:$D$17),""))</f>
        <v/>
      </c>
      <c r="W282" s="44" t="str">
        <f>IF($P282="Low",$S282,IF($P282="Mix",SUMIF('High_Low Voltage Mix Summary'!$B$10:$B$17,$B201,'High_Low Voltage Mix Summary'!$E$10:$E$17),""))</f>
        <v/>
      </c>
      <c r="X282" s="44" t="str">
        <f>IF($P282="High",$T282,IF($P282="Mix",SUMIF('High_Low Voltage Mix Summary'!$B$10:$B$17,$B201,'High_Low Voltage Mix Summary'!$F$10:$F$17),""))</f>
        <v/>
      </c>
      <c r="Y282" s="44" t="str">
        <f>IF($P282="Low",$T282,IF($P282="Mix",SUMIF('High_Low Voltage Mix Summary'!$B$10:$B$17,$B201,'High_Low Voltage Mix Summary'!$G$10:$G$17),""))</f>
        <v/>
      </c>
      <c r="Z282" s="44" t="str">
        <f>IF(OR($P282="High",$P282="Low"),"",IF($P282="Mix",SUMIF('High_Low Voltage Mix Summary'!$B$10:$B$17,$B201,'High_Low Voltage Mix Summary'!$H$10:$H$17),""))</f>
        <v/>
      </c>
      <c r="AB282" s="49">
        <f>SUMIF('Antelope Bailey Split BA'!$B$7:$B$29,B282,'Antelope Bailey Split BA'!$C$7:$C$29)</f>
        <v>0</v>
      </c>
      <c r="AC282" s="49" t="str">
        <f>IF(AND(AB282=1,'Plant Total by Account'!$H$1=2),"EKWRA","")</f>
        <v/>
      </c>
    </row>
    <row r="283" spans="1:29" x14ac:dyDescent="0.2">
      <c r="A283" s="39" t="s">
        <v>2825</v>
      </c>
      <c r="B283" s="45" t="s">
        <v>378</v>
      </c>
      <c r="C283" s="40" t="s">
        <v>3334</v>
      </c>
      <c r="D283" s="53">
        <v>14777.480000000001</v>
      </c>
      <c r="E283" s="53">
        <v>174852.81</v>
      </c>
      <c r="F283" s="53">
        <v>3711456.9299999988</v>
      </c>
      <c r="G283" s="578">
        <f t="shared" si="43"/>
        <v>3901087.2199999988</v>
      </c>
      <c r="H283" s="41"/>
      <c r="I283" s="41"/>
      <c r="J283" s="41"/>
      <c r="K283" s="41">
        <f t="shared" si="45"/>
        <v>14777.480000000001</v>
      </c>
      <c r="L283" s="41">
        <f t="shared" si="46"/>
        <v>174852.81</v>
      </c>
      <c r="M283" s="41">
        <f t="shared" si="47"/>
        <v>3711456.9299999988</v>
      </c>
      <c r="N283" s="363">
        <f t="shared" si="44"/>
        <v>0</v>
      </c>
      <c r="O283" s="43" t="s">
        <v>3309</v>
      </c>
      <c r="P283" s="43"/>
      <c r="R283" s="41">
        <f t="shared" si="40"/>
        <v>0</v>
      </c>
      <c r="S283" s="41">
        <f t="shared" si="41"/>
        <v>0</v>
      </c>
      <c r="T283" s="41">
        <f t="shared" si="42"/>
        <v>0</v>
      </c>
      <c r="U283" s="41"/>
      <c r="V283" s="44" t="str">
        <f>IF($P283="High",$S283,IF($P283="Mix",SUMIF('High_Low Voltage Mix Summary'!$B$10:$B$17,$B202,'High_Low Voltage Mix Summary'!$D$10:$D$17),""))</f>
        <v/>
      </c>
      <c r="W283" s="44" t="str">
        <f>IF($P283="Low",$S283,IF($P283="Mix",SUMIF('High_Low Voltage Mix Summary'!$B$10:$B$17,$B202,'High_Low Voltage Mix Summary'!$E$10:$E$17),""))</f>
        <v/>
      </c>
      <c r="X283" s="44" t="str">
        <f>IF($P283="High",$T283,IF($P283="Mix",SUMIF('High_Low Voltage Mix Summary'!$B$10:$B$17,$B202,'High_Low Voltage Mix Summary'!$F$10:$F$17),""))</f>
        <v/>
      </c>
      <c r="Y283" s="44" t="str">
        <f>IF($P283="Low",$T283,IF($P283="Mix",SUMIF('High_Low Voltage Mix Summary'!$B$10:$B$17,$B202,'High_Low Voltage Mix Summary'!$G$10:$G$17),""))</f>
        <v/>
      </c>
      <c r="Z283" s="44" t="str">
        <f>IF(OR($P283="High",$P283="Low"),"",IF($P283="Mix",SUMIF('High_Low Voltage Mix Summary'!$B$10:$B$17,$B202,'High_Low Voltage Mix Summary'!$H$10:$H$17),""))</f>
        <v/>
      </c>
      <c r="AB283" s="49">
        <f>SUMIF('Antelope Bailey Split BA'!$B$7:$B$29,B283,'Antelope Bailey Split BA'!$C$7:$C$29)</f>
        <v>0</v>
      </c>
      <c r="AC283" s="49" t="str">
        <f>IF(AND(AB283=1,'Plant Total by Account'!$H$1=2),"EKWRA","")</f>
        <v/>
      </c>
    </row>
    <row r="284" spans="1:29" x14ac:dyDescent="0.2">
      <c r="A284" s="39" t="s">
        <v>2826</v>
      </c>
      <c r="B284" s="45" t="s">
        <v>379</v>
      </c>
      <c r="C284" s="40" t="s">
        <v>3334</v>
      </c>
      <c r="D284" s="53">
        <v>1683.31</v>
      </c>
      <c r="E284" s="53">
        <v>906542.16999999993</v>
      </c>
      <c r="F284" s="53">
        <v>7621026.0700000068</v>
      </c>
      <c r="G284" s="578">
        <f t="shared" si="43"/>
        <v>8529251.5500000063</v>
      </c>
      <c r="H284" s="41"/>
      <c r="I284" s="41"/>
      <c r="J284" s="41"/>
      <c r="K284" s="41">
        <f t="shared" si="45"/>
        <v>1683.31</v>
      </c>
      <c r="L284" s="41">
        <f t="shared" si="46"/>
        <v>906542.16999999993</v>
      </c>
      <c r="M284" s="41">
        <f t="shared" si="47"/>
        <v>7621026.0700000068</v>
      </c>
      <c r="N284" s="363">
        <f t="shared" si="44"/>
        <v>0</v>
      </c>
      <c r="O284" s="43" t="s">
        <v>3309</v>
      </c>
      <c r="P284" s="43"/>
      <c r="R284" s="41">
        <f t="shared" si="40"/>
        <v>0</v>
      </c>
      <c r="S284" s="41">
        <f t="shared" si="41"/>
        <v>0</v>
      </c>
      <c r="T284" s="41">
        <f t="shared" si="42"/>
        <v>0</v>
      </c>
      <c r="U284" s="41"/>
      <c r="V284" s="44" t="str">
        <f>IF($P284="High",$S284,IF($P284="Mix",SUMIF('High_Low Voltage Mix Summary'!$B$10:$B$17,$B203,'High_Low Voltage Mix Summary'!$D$10:$D$17),""))</f>
        <v/>
      </c>
      <c r="W284" s="44" t="str">
        <f>IF($P284="Low",$S284,IF($P284="Mix",SUMIF('High_Low Voltage Mix Summary'!$B$10:$B$17,$B203,'High_Low Voltage Mix Summary'!$E$10:$E$17),""))</f>
        <v/>
      </c>
      <c r="X284" s="44" t="str">
        <f>IF($P284="High",$T284,IF($P284="Mix",SUMIF('High_Low Voltage Mix Summary'!$B$10:$B$17,$B203,'High_Low Voltage Mix Summary'!$F$10:$F$17),""))</f>
        <v/>
      </c>
      <c r="Y284" s="44" t="str">
        <f>IF($P284="Low",$T284,IF($P284="Mix",SUMIF('High_Low Voltage Mix Summary'!$B$10:$B$17,$B203,'High_Low Voltage Mix Summary'!$G$10:$G$17),""))</f>
        <v/>
      </c>
      <c r="Z284" s="44" t="str">
        <f>IF(OR($P284="High",$P284="Low"),"",IF($P284="Mix",SUMIF('High_Low Voltage Mix Summary'!$B$10:$B$17,$B203,'High_Low Voltage Mix Summary'!$H$10:$H$17),""))</f>
        <v/>
      </c>
      <c r="AB284" s="49">
        <f>SUMIF('Antelope Bailey Split BA'!$B$7:$B$29,B284,'Antelope Bailey Split BA'!$C$7:$C$29)</f>
        <v>0</v>
      </c>
      <c r="AC284" s="49" t="str">
        <f>IF(AND(AB284=1,'Plant Total by Account'!$H$1=2),"EKWRA","")</f>
        <v/>
      </c>
    </row>
    <row r="285" spans="1:29" x14ac:dyDescent="0.2">
      <c r="A285" s="39" t="s">
        <v>2420</v>
      </c>
      <c r="B285" s="45" t="s">
        <v>380</v>
      </c>
      <c r="C285" s="40" t="s">
        <v>3334</v>
      </c>
      <c r="D285" s="53">
        <v>198.32</v>
      </c>
      <c r="E285" s="53">
        <v>86689.050000000017</v>
      </c>
      <c r="F285" s="53">
        <v>4662295.3599999985</v>
      </c>
      <c r="G285" s="578">
        <f t="shared" si="43"/>
        <v>4749182.7299999986</v>
      </c>
      <c r="H285" s="41"/>
      <c r="I285" s="41"/>
      <c r="J285" s="41"/>
      <c r="K285" s="41">
        <f t="shared" si="45"/>
        <v>198.32</v>
      </c>
      <c r="L285" s="41">
        <f t="shared" si="46"/>
        <v>86689.050000000017</v>
      </c>
      <c r="M285" s="41">
        <f t="shared" si="47"/>
        <v>4662295.3599999985</v>
      </c>
      <c r="N285" s="363">
        <f t="shared" si="44"/>
        <v>0</v>
      </c>
      <c r="O285" s="43" t="s">
        <v>3309</v>
      </c>
      <c r="P285" s="43"/>
      <c r="R285" s="41">
        <f t="shared" si="40"/>
        <v>0</v>
      </c>
      <c r="S285" s="41">
        <f t="shared" si="41"/>
        <v>0</v>
      </c>
      <c r="T285" s="41">
        <f t="shared" si="42"/>
        <v>0</v>
      </c>
      <c r="U285" s="41"/>
      <c r="V285" s="44" t="str">
        <f>IF($P285="High",$S285,IF($P285="Mix",SUMIF('High_Low Voltage Mix Summary'!$B$10:$B$17,$B204,'High_Low Voltage Mix Summary'!$D$10:$D$17),""))</f>
        <v/>
      </c>
      <c r="W285" s="44" t="str">
        <f>IF($P285="Low",$S285,IF($P285="Mix",SUMIF('High_Low Voltage Mix Summary'!$B$10:$B$17,$B204,'High_Low Voltage Mix Summary'!$E$10:$E$17),""))</f>
        <v/>
      </c>
      <c r="X285" s="44" t="str">
        <f>IF($P285="High",$T285,IF($P285="Mix",SUMIF('High_Low Voltage Mix Summary'!$B$10:$B$17,$B204,'High_Low Voltage Mix Summary'!$F$10:$F$17),""))</f>
        <v/>
      </c>
      <c r="Y285" s="44" t="str">
        <f>IF($P285="Low",$T285,IF($P285="Mix",SUMIF('High_Low Voltage Mix Summary'!$B$10:$B$17,$B204,'High_Low Voltage Mix Summary'!$G$10:$G$17),""))</f>
        <v/>
      </c>
      <c r="Z285" s="44" t="str">
        <f>IF(OR($P285="High",$P285="Low"),"",IF($P285="Mix",SUMIF('High_Low Voltage Mix Summary'!$B$10:$B$17,$B204,'High_Low Voltage Mix Summary'!$H$10:$H$17),""))</f>
        <v/>
      </c>
      <c r="AB285" s="49">
        <f>SUMIF('Antelope Bailey Split BA'!$B$7:$B$29,B285,'Antelope Bailey Split BA'!$C$7:$C$29)</f>
        <v>0</v>
      </c>
      <c r="AC285" s="49" t="str">
        <f>IF(AND(AB285=1,'Plant Total by Account'!$H$1=2),"EKWRA","")</f>
        <v/>
      </c>
    </row>
    <row r="286" spans="1:29" x14ac:dyDescent="0.2">
      <c r="A286" s="39" t="s">
        <v>2827</v>
      </c>
      <c r="B286" s="45" t="s">
        <v>381</v>
      </c>
      <c r="C286" s="40" t="s">
        <v>3334</v>
      </c>
      <c r="D286" s="53">
        <v>0</v>
      </c>
      <c r="E286" s="53">
        <v>37942.9</v>
      </c>
      <c r="F286" s="53">
        <v>116859.73999999998</v>
      </c>
      <c r="G286" s="578">
        <f t="shared" si="43"/>
        <v>154802.63999999998</v>
      </c>
      <c r="H286" s="41"/>
      <c r="I286" s="41"/>
      <c r="J286" s="41"/>
      <c r="K286" s="41">
        <f t="shared" si="45"/>
        <v>0</v>
      </c>
      <c r="L286" s="41">
        <f t="shared" si="46"/>
        <v>37942.9</v>
      </c>
      <c r="M286" s="41">
        <f t="shared" si="47"/>
        <v>116859.73999999998</v>
      </c>
      <c r="N286" s="363">
        <f t="shared" si="44"/>
        <v>0</v>
      </c>
      <c r="O286" s="43" t="s">
        <v>3309</v>
      </c>
      <c r="P286" s="43"/>
      <c r="R286" s="41">
        <f t="shared" si="40"/>
        <v>0</v>
      </c>
      <c r="S286" s="41">
        <f t="shared" si="41"/>
        <v>0</v>
      </c>
      <c r="T286" s="41">
        <f t="shared" si="42"/>
        <v>0</v>
      </c>
      <c r="U286" s="41"/>
      <c r="V286" s="44" t="str">
        <f>IF($P286="High",$S286,IF($P286="Mix",SUMIF('High_Low Voltage Mix Summary'!$B$10:$B$17,$B205,'High_Low Voltage Mix Summary'!$D$10:$D$17),""))</f>
        <v/>
      </c>
      <c r="W286" s="44" t="str">
        <f>IF($P286="Low",$S286,IF($P286="Mix",SUMIF('High_Low Voltage Mix Summary'!$B$10:$B$17,$B205,'High_Low Voltage Mix Summary'!$E$10:$E$17),""))</f>
        <v/>
      </c>
      <c r="X286" s="44" t="str">
        <f>IF($P286="High",$T286,IF($P286="Mix",SUMIF('High_Low Voltage Mix Summary'!$B$10:$B$17,$B205,'High_Low Voltage Mix Summary'!$F$10:$F$17),""))</f>
        <v/>
      </c>
      <c r="Y286" s="44" t="str">
        <f>IF($P286="Low",$T286,IF($P286="Mix",SUMIF('High_Low Voltage Mix Summary'!$B$10:$B$17,$B205,'High_Low Voltage Mix Summary'!$G$10:$G$17),""))</f>
        <v/>
      </c>
      <c r="Z286" s="44" t="str">
        <f>IF(OR($P286="High",$P286="Low"),"",IF($P286="Mix",SUMIF('High_Low Voltage Mix Summary'!$B$10:$B$17,$B205,'High_Low Voltage Mix Summary'!$H$10:$H$17),""))</f>
        <v/>
      </c>
      <c r="AB286" s="49">
        <f>SUMIF('Antelope Bailey Split BA'!$B$7:$B$29,B286,'Antelope Bailey Split BA'!$C$7:$C$29)</f>
        <v>0</v>
      </c>
      <c r="AC286" s="49" t="str">
        <f>IF(AND(AB286=1,'Plant Total by Account'!$H$1=2),"EKWRA","")</f>
        <v/>
      </c>
    </row>
    <row r="287" spans="1:29" x14ac:dyDescent="0.2">
      <c r="A287" s="39" t="s">
        <v>2828</v>
      </c>
      <c r="B287" s="45" t="s">
        <v>382</v>
      </c>
      <c r="C287" s="40" t="s">
        <v>3334</v>
      </c>
      <c r="D287" s="53">
        <v>200</v>
      </c>
      <c r="E287" s="53">
        <v>12065.74</v>
      </c>
      <c r="F287" s="53">
        <v>2055917.6500000001</v>
      </c>
      <c r="G287" s="578">
        <f t="shared" si="43"/>
        <v>2068183.3900000001</v>
      </c>
      <c r="H287" s="41"/>
      <c r="I287" s="41"/>
      <c r="J287" s="41"/>
      <c r="K287" s="41">
        <f t="shared" si="45"/>
        <v>200</v>
      </c>
      <c r="L287" s="41">
        <f t="shared" si="46"/>
        <v>12065.74</v>
      </c>
      <c r="M287" s="41">
        <f t="shared" si="47"/>
        <v>2055917.6500000001</v>
      </c>
      <c r="N287" s="363">
        <f t="shared" si="44"/>
        <v>0</v>
      </c>
      <c r="O287" s="43" t="s">
        <v>3309</v>
      </c>
      <c r="P287" s="43"/>
      <c r="R287" s="41">
        <f t="shared" si="40"/>
        <v>0</v>
      </c>
      <c r="S287" s="41">
        <f t="shared" si="41"/>
        <v>0</v>
      </c>
      <c r="T287" s="41">
        <f t="shared" si="42"/>
        <v>0</v>
      </c>
      <c r="U287" s="41"/>
      <c r="V287" s="44" t="str">
        <f>IF($P287="High",$S287,IF($P287="Mix",SUMIF('High_Low Voltage Mix Summary'!$B$10:$B$17,$B206,'High_Low Voltage Mix Summary'!$D$10:$D$17),""))</f>
        <v/>
      </c>
      <c r="W287" s="44" t="str">
        <f>IF($P287="Low",$S287,IF($P287="Mix",SUMIF('High_Low Voltage Mix Summary'!$B$10:$B$17,$B206,'High_Low Voltage Mix Summary'!$E$10:$E$17),""))</f>
        <v/>
      </c>
      <c r="X287" s="44" t="str">
        <f>IF($P287="High",$T287,IF($P287="Mix",SUMIF('High_Low Voltage Mix Summary'!$B$10:$B$17,$B206,'High_Low Voltage Mix Summary'!$F$10:$F$17),""))</f>
        <v/>
      </c>
      <c r="Y287" s="44" t="str">
        <f>IF($P287="Low",$T287,IF($P287="Mix",SUMIF('High_Low Voltage Mix Summary'!$B$10:$B$17,$B206,'High_Low Voltage Mix Summary'!$G$10:$G$17),""))</f>
        <v/>
      </c>
      <c r="Z287" s="44" t="str">
        <f>IF(OR($P287="High",$P287="Low"),"",IF($P287="Mix",SUMIF('High_Low Voltage Mix Summary'!$B$10:$B$17,$B206,'High_Low Voltage Mix Summary'!$H$10:$H$17),""))</f>
        <v/>
      </c>
      <c r="AB287" s="49">
        <f>SUMIF('Antelope Bailey Split BA'!$B$7:$B$29,B287,'Antelope Bailey Split BA'!$C$7:$C$29)</f>
        <v>0</v>
      </c>
      <c r="AC287" s="49" t="str">
        <f>IF(AND(AB287=1,'Plant Total by Account'!$H$1=2),"EKWRA","")</f>
        <v/>
      </c>
    </row>
    <row r="288" spans="1:29" x14ac:dyDescent="0.2">
      <c r="A288" s="39" t="s">
        <v>2829</v>
      </c>
      <c r="B288" s="45" t="s">
        <v>383</v>
      </c>
      <c r="C288" s="40" t="s">
        <v>3334</v>
      </c>
      <c r="D288" s="53">
        <v>0</v>
      </c>
      <c r="E288" s="53">
        <v>5505.59</v>
      </c>
      <c r="F288" s="53">
        <v>16154.030000000002</v>
      </c>
      <c r="G288" s="578">
        <f t="shared" si="43"/>
        <v>21659.620000000003</v>
      </c>
      <c r="H288" s="41"/>
      <c r="I288" s="41"/>
      <c r="J288" s="41"/>
      <c r="K288" s="41">
        <f t="shared" si="45"/>
        <v>0</v>
      </c>
      <c r="L288" s="41">
        <f t="shared" si="46"/>
        <v>5505.59</v>
      </c>
      <c r="M288" s="41">
        <f t="shared" si="47"/>
        <v>16154.030000000002</v>
      </c>
      <c r="N288" s="363">
        <f t="shared" si="44"/>
        <v>0</v>
      </c>
      <c r="O288" s="43" t="s">
        <v>3309</v>
      </c>
      <c r="P288" s="43"/>
      <c r="R288" s="41">
        <f t="shared" si="40"/>
        <v>0</v>
      </c>
      <c r="S288" s="41">
        <f t="shared" si="41"/>
        <v>0</v>
      </c>
      <c r="T288" s="41">
        <f t="shared" si="42"/>
        <v>0</v>
      </c>
      <c r="U288" s="41"/>
      <c r="V288" s="44" t="str">
        <f>IF($P288="High",$S288,IF($P288="Mix",SUMIF('High_Low Voltage Mix Summary'!$B$10:$B$17,$B207,'High_Low Voltage Mix Summary'!$D$10:$D$17),""))</f>
        <v/>
      </c>
      <c r="W288" s="44" t="str">
        <f>IF($P288="Low",$S288,IF($P288="Mix",SUMIF('High_Low Voltage Mix Summary'!$B$10:$B$17,$B207,'High_Low Voltage Mix Summary'!$E$10:$E$17),""))</f>
        <v/>
      </c>
      <c r="X288" s="44" t="str">
        <f>IF($P288="High",$T288,IF($P288="Mix",SUMIF('High_Low Voltage Mix Summary'!$B$10:$B$17,$B207,'High_Low Voltage Mix Summary'!$F$10:$F$17),""))</f>
        <v/>
      </c>
      <c r="Y288" s="44" t="str">
        <f>IF($P288="Low",$T288,IF($P288="Mix",SUMIF('High_Low Voltage Mix Summary'!$B$10:$B$17,$B207,'High_Low Voltage Mix Summary'!$G$10:$G$17),""))</f>
        <v/>
      </c>
      <c r="Z288" s="44" t="str">
        <f>IF(OR($P288="High",$P288="Low"),"",IF($P288="Mix",SUMIF('High_Low Voltage Mix Summary'!$B$10:$B$17,$B207,'High_Low Voltage Mix Summary'!$H$10:$H$17),""))</f>
        <v/>
      </c>
      <c r="AB288" s="49">
        <f>SUMIF('Antelope Bailey Split BA'!$B$7:$B$29,B288,'Antelope Bailey Split BA'!$C$7:$C$29)</f>
        <v>0</v>
      </c>
      <c r="AC288" s="49" t="str">
        <f>IF(AND(AB288=1,'Plant Total by Account'!$H$1=2),"EKWRA","")</f>
        <v/>
      </c>
    </row>
    <row r="289" spans="1:29" x14ac:dyDescent="0.2">
      <c r="A289" s="39" t="s">
        <v>2830</v>
      </c>
      <c r="B289" s="45" t="s">
        <v>384</v>
      </c>
      <c r="C289" s="40" t="s">
        <v>3334</v>
      </c>
      <c r="D289" s="53">
        <v>0</v>
      </c>
      <c r="E289" s="53">
        <v>7049.14</v>
      </c>
      <c r="F289" s="53">
        <v>264955.33999999997</v>
      </c>
      <c r="G289" s="578">
        <f t="shared" si="43"/>
        <v>272004.47999999998</v>
      </c>
      <c r="H289" s="41"/>
      <c r="I289" s="41"/>
      <c r="J289" s="41"/>
      <c r="K289" s="41">
        <f t="shared" si="45"/>
        <v>0</v>
      </c>
      <c r="L289" s="41">
        <f t="shared" si="46"/>
        <v>7049.14</v>
      </c>
      <c r="M289" s="41">
        <f t="shared" si="47"/>
        <v>264955.33999999997</v>
      </c>
      <c r="N289" s="363">
        <f t="shared" si="44"/>
        <v>0</v>
      </c>
      <c r="O289" s="43" t="s">
        <v>3309</v>
      </c>
      <c r="P289" s="43"/>
      <c r="R289" s="41">
        <f t="shared" si="40"/>
        <v>0</v>
      </c>
      <c r="S289" s="41">
        <f t="shared" si="41"/>
        <v>0</v>
      </c>
      <c r="T289" s="41">
        <f t="shared" si="42"/>
        <v>0</v>
      </c>
      <c r="U289" s="41"/>
      <c r="V289" s="44" t="str">
        <f>IF($P289="High",$S289,IF($P289="Mix",SUMIF('High_Low Voltage Mix Summary'!$B$10:$B$17,$B208,'High_Low Voltage Mix Summary'!$D$10:$D$17),""))</f>
        <v/>
      </c>
      <c r="W289" s="44" t="str">
        <f>IF($P289="Low",$S289,IF($P289="Mix",SUMIF('High_Low Voltage Mix Summary'!$B$10:$B$17,$B208,'High_Low Voltage Mix Summary'!$E$10:$E$17),""))</f>
        <v/>
      </c>
      <c r="X289" s="44" t="str">
        <f>IF($P289="High",$T289,IF($P289="Mix",SUMIF('High_Low Voltage Mix Summary'!$B$10:$B$17,$B208,'High_Low Voltage Mix Summary'!$F$10:$F$17),""))</f>
        <v/>
      </c>
      <c r="Y289" s="44" t="str">
        <f>IF($P289="Low",$T289,IF($P289="Mix",SUMIF('High_Low Voltage Mix Summary'!$B$10:$B$17,$B208,'High_Low Voltage Mix Summary'!$G$10:$G$17),""))</f>
        <v/>
      </c>
      <c r="Z289" s="44" t="str">
        <f>IF(OR($P289="High",$P289="Low"),"",IF($P289="Mix",SUMIF('High_Low Voltage Mix Summary'!$B$10:$B$17,$B208,'High_Low Voltage Mix Summary'!$H$10:$H$17),""))</f>
        <v/>
      </c>
      <c r="AB289" s="49">
        <f>SUMIF('Antelope Bailey Split BA'!$B$7:$B$29,B289,'Antelope Bailey Split BA'!$C$7:$C$29)</f>
        <v>0</v>
      </c>
      <c r="AC289" s="49" t="str">
        <f>IF(AND(AB289=1,'Plant Total by Account'!$H$1=2),"EKWRA","")</f>
        <v/>
      </c>
    </row>
    <row r="290" spans="1:29" x14ac:dyDescent="0.2">
      <c r="A290" s="39" t="s">
        <v>2831</v>
      </c>
      <c r="B290" s="45" t="s">
        <v>385</v>
      </c>
      <c r="C290" s="40" t="s">
        <v>3334</v>
      </c>
      <c r="D290" s="53">
        <v>3281.2500000000005</v>
      </c>
      <c r="E290" s="53">
        <v>2990.91</v>
      </c>
      <c r="F290" s="53">
        <v>142719.45000000001</v>
      </c>
      <c r="G290" s="578">
        <f t="shared" si="43"/>
        <v>148991.61000000002</v>
      </c>
      <c r="H290" s="41"/>
      <c r="I290" s="41"/>
      <c r="J290" s="41"/>
      <c r="K290" s="41">
        <f t="shared" si="45"/>
        <v>3281.2500000000005</v>
      </c>
      <c r="L290" s="41">
        <f t="shared" si="46"/>
        <v>2990.91</v>
      </c>
      <c r="M290" s="41">
        <f t="shared" si="47"/>
        <v>142719.45000000001</v>
      </c>
      <c r="N290" s="363">
        <f t="shared" si="44"/>
        <v>0</v>
      </c>
      <c r="O290" s="43" t="s">
        <v>3309</v>
      </c>
      <c r="P290" s="43"/>
      <c r="R290" s="41">
        <f t="shared" si="40"/>
        <v>0</v>
      </c>
      <c r="S290" s="41">
        <f t="shared" si="41"/>
        <v>0</v>
      </c>
      <c r="T290" s="41">
        <f t="shared" si="42"/>
        <v>0</v>
      </c>
      <c r="U290" s="41"/>
      <c r="V290" s="44" t="str">
        <f>IF($P290="High",$S290,IF($P290="Mix",SUMIF('High_Low Voltage Mix Summary'!$B$10:$B$17,$B209,'High_Low Voltage Mix Summary'!$D$10:$D$17),""))</f>
        <v/>
      </c>
      <c r="W290" s="44" t="str">
        <f>IF($P290="Low",$S290,IF($P290="Mix",SUMIF('High_Low Voltage Mix Summary'!$B$10:$B$17,$B209,'High_Low Voltage Mix Summary'!$E$10:$E$17),""))</f>
        <v/>
      </c>
      <c r="X290" s="44" t="str">
        <f>IF($P290="High",$T290,IF($P290="Mix",SUMIF('High_Low Voltage Mix Summary'!$B$10:$B$17,$B209,'High_Low Voltage Mix Summary'!$F$10:$F$17),""))</f>
        <v/>
      </c>
      <c r="Y290" s="44" t="str">
        <f>IF($P290="Low",$T290,IF($P290="Mix",SUMIF('High_Low Voltage Mix Summary'!$B$10:$B$17,$B209,'High_Low Voltage Mix Summary'!$G$10:$G$17),""))</f>
        <v/>
      </c>
      <c r="Z290" s="44" t="str">
        <f>IF(OR($P290="High",$P290="Low"),"",IF($P290="Mix",SUMIF('High_Low Voltage Mix Summary'!$B$10:$B$17,$B209,'High_Low Voltage Mix Summary'!$H$10:$H$17),""))</f>
        <v/>
      </c>
      <c r="AB290" s="49">
        <f>SUMIF('Antelope Bailey Split BA'!$B$7:$B$29,B290,'Antelope Bailey Split BA'!$C$7:$C$29)</f>
        <v>0</v>
      </c>
      <c r="AC290" s="49" t="str">
        <f>IF(AND(AB290=1,'Plant Total by Account'!$H$1=2),"EKWRA","")</f>
        <v/>
      </c>
    </row>
    <row r="291" spans="1:29" x14ac:dyDescent="0.2">
      <c r="A291" s="39" t="s">
        <v>2832</v>
      </c>
      <c r="B291" s="45" t="s">
        <v>386</v>
      </c>
      <c r="C291" s="40" t="s">
        <v>3334</v>
      </c>
      <c r="D291" s="53">
        <v>1487.57</v>
      </c>
      <c r="E291" s="53">
        <v>409161.95000000007</v>
      </c>
      <c r="F291" s="53">
        <v>5377252.9900000012</v>
      </c>
      <c r="G291" s="578">
        <f t="shared" si="43"/>
        <v>5787902.5100000016</v>
      </c>
      <c r="H291" s="41"/>
      <c r="I291" s="41"/>
      <c r="J291" s="41"/>
      <c r="K291" s="41">
        <f t="shared" si="45"/>
        <v>1487.57</v>
      </c>
      <c r="L291" s="41">
        <f t="shared" si="46"/>
        <v>409161.95000000007</v>
      </c>
      <c r="M291" s="41">
        <f t="shared" si="47"/>
        <v>5377252.9900000012</v>
      </c>
      <c r="N291" s="363">
        <f t="shared" si="44"/>
        <v>0</v>
      </c>
      <c r="O291" s="43" t="s">
        <v>3309</v>
      </c>
      <c r="P291" s="43"/>
      <c r="R291" s="41">
        <f t="shared" si="40"/>
        <v>0</v>
      </c>
      <c r="S291" s="41">
        <f t="shared" si="41"/>
        <v>0</v>
      </c>
      <c r="T291" s="41">
        <f t="shared" si="42"/>
        <v>0</v>
      </c>
      <c r="U291" s="41"/>
      <c r="V291" s="44" t="str">
        <f>IF($P291="High",$S291,IF($P291="Mix",SUMIF('High_Low Voltage Mix Summary'!$B$10:$B$17,$B210,'High_Low Voltage Mix Summary'!$D$10:$D$17),""))</f>
        <v/>
      </c>
      <c r="W291" s="44" t="str">
        <f>IF($P291="Low",$S291,IF($P291="Mix",SUMIF('High_Low Voltage Mix Summary'!$B$10:$B$17,$B210,'High_Low Voltage Mix Summary'!$E$10:$E$17),""))</f>
        <v/>
      </c>
      <c r="X291" s="44" t="str">
        <f>IF($P291="High",$T291,IF($P291="Mix",SUMIF('High_Low Voltage Mix Summary'!$B$10:$B$17,$B210,'High_Low Voltage Mix Summary'!$F$10:$F$17),""))</f>
        <v/>
      </c>
      <c r="Y291" s="44" t="str">
        <f>IF($P291="Low",$T291,IF($P291="Mix",SUMIF('High_Low Voltage Mix Summary'!$B$10:$B$17,$B210,'High_Low Voltage Mix Summary'!$G$10:$G$17),""))</f>
        <v/>
      </c>
      <c r="Z291" s="44" t="str">
        <f>IF(OR($P291="High",$P291="Low"),"",IF($P291="Mix",SUMIF('High_Low Voltage Mix Summary'!$B$10:$B$17,$B210,'High_Low Voltage Mix Summary'!$H$10:$H$17),""))</f>
        <v/>
      </c>
      <c r="AB291" s="49">
        <f>SUMIF('Antelope Bailey Split BA'!$B$7:$B$29,B291,'Antelope Bailey Split BA'!$C$7:$C$29)</f>
        <v>0</v>
      </c>
      <c r="AC291" s="49" t="str">
        <f>IF(AND(AB291=1,'Plant Total by Account'!$H$1=2),"EKWRA","")</f>
        <v/>
      </c>
    </row>
    <row r="292" spans="1:29" x14ac:dyDescent="0.2">
      <c r="A292" s="39" t="s">
        <v>2833</v>
      </c>
      <c r="B292" s="45" t="s">
        <v>387</v>
      </c>
      <c r="C292" s="40" t="s">
        <v>3333</v>
      </c>
      <c r="D292" s="53">
        <v>1834.42</v>
      </c>
      <c r="E292" s="53">
        <v>30713.7</v>
      </c>
      <c r="F292" s="53">
        <v>228864.45000000004</v>
      </c>
      <c r="G292" s="578">
        <f t="shared" si="43"/>
        <v>261412.57000000004</v>
      </c>
      <c r="H292" s="41"/>
      <c r="I292" s="41"/>
      <c r="J292" s="41"/>
      <c r="K292" s="41">
        <f t="shared" si="45"/>
        <v>1834.42</v>
      </c>
      <c r="L292" s="41">
        <f t="shared" si="46"/>
        <v>30713.7</v>
      </c>
      <c r="M292" s="41">
        <f t="shared" si="47"/>
        <v>228864.45000000004</v>
      </c>
      <c r="N292" s="363">
        <f t="shared" si="44"/>
        <v>0</v>
      </c>
      <c r="O292" s="43" t="s">
        <v>3309</v>
      </c>
      <c r="P292" s="43"/>
      <c r="R292" s="41">
        <f t="shared" si="40"/>
        <v>0</v>
      </c>
      <c r="S292" s="41">
        <f t="shared" si="41"/>
        <v>0</v>
      </c>
      <c r="T292" s="41">
        <f t="shared" si="42"/>
        <v>0</v>
      </c>
      <c r="U292" s="41"/>
      <c r="V292" s="44" t="str">
        <f>IF($P292="High",$S292,IF($P292="Mix",SUMIF('High_Low Voltage Mix Summary'!$B$10:$B$17,$B211,'High_Low Voltage Mix Summary'!$D$10:$D$17),""))</f>
        <v/>
      </c>
      <c r="W292" s="44" t="str">
        <f>IF($P292="Low",$S292,IF($P292="Mix",SUMIF('High_Low Voltage Mix Summary'!$B$10:$B$17,$B211,'High_Low Voltage Mix Summary'!$E$10:$E$17),""))</f>
        <v/>
      </c>
      <c r="X292" s="44" t="str">
        <f>IF($P292="High",$T292,IF($P292="Mix",SUMIF('High_Low Voltage Mix Summary'!$B$10:$B$17,$B211,'High_Low Voltage Mix Summary'!$F$10:$F$17),""))</f>
        <v/>
      </c>
      <c r="Y292" s="44" t="str">
        <f>IF($P292="Low",$T292,IF($P292="Mix",SUMIF('High_Low Voltage Mix Summary'!$B$10:$B$17,$B211,'High_Low Voltage Mix Summary'!$G$10:$G$17),""))</f>
        <v/>
      </c>
      <c r="Z292" s="44" t="str">
        <f>IF(OR($P292="High",$P292="Low"),"",IF($P292="Mix",SUMIF('High_Low Voltage Mix Summary'!$B$10:$B$17,$B211,'High_Low Voltage Mix Summary'!$H$10:$H$17),""))</f>
        <v/>
      </c>
      <c r="AB292" s="49">
        <f>SUMIF('Antelope Bailey Split BA'!$B$7:$B$29,B292,'Antelope Bailey Split BA'!$C$7:$C$29)</f>
        <v>0</v>
      </c>
      <c r="AC292" s="49" t="str">
        <f>IF(AND(AB292=1,'Plant Total by Account'!$H$1=2),"EKWRA","")</f>
        <v/>
      </c>
    </row>
    <row r="293" spans="1:29" x14ac:dyDescent="0.2">
      <c r="A293" s="39" t="s">
        <v>2834</v>
      </c>
      <c r="B293" s="45" t="s">
        <v>388</v>
      </c>
      <c r="C293" s="40" t="s">
        <v>3334</v>
      </c>
      <c r="D293" s="53">
        <v>727</v>
      </c>
      <c r="E293" s="53">
        <v>12872.439999999999</v>
      </c>
      <c r="F293" s="53">
        <v>55839.710000000006</v>
      </c>
      <c r="G293" s="578">
        <f t="shared" si="43"/>
        <v>69439.150000000009</v>
      </c>
      <c r="H293" s="41"/>
      <c r="I293" s="41"/>
      <c r="J293" s="41"/>
      <c r="K293" s="41">
        <f t="shared" si="45"/>
        <v>727</v>
      </c>
      <c r="L293" s="41">
        <f t="shared" si="46"/>
        <v>12872.439999999999</v>
      </c>
      <c r="M293" s="41">
        <f t="shared" si="47"/>
        <v>55839.710000000006</v>
      </c>
      <c r="N293" s="363">
        <f t="shared" si="44"/>
        <v>0</v>
      </c>
      <c r="O293" s="43" t="s">
        <v>3309</v>
      </c>
      <c r="P293" s="43"/>
      <c r="R293" s="41">
        <f t="shared" si="40"/>
        <v>0</v>
      </c>
      <c r="S293" s="41">
        <f t="shared" si="41"/>
        <v>0</v>
      </c>
      <c r="T293" s="41">
        <f t="shared" si="42"/>
        <v>0</v>
      </c>
      <c r="U293" s="41"/>
      <c r="V293" s="44" t="str">
        <f>IF($P293="High",$S293,IF($P293="Mix",SUMIF('High_Low Voltage Mix Summary'!$B$10:$B$17,$B663,'High_Low Voltage Mix Summary'!$D$10:$D$17),""))</f>
        <v/>
      </c>
      <c r="W293" s="44" t="str">
        <f>IF($P293="Low",$S293,IF($P293="Mix",SUMIF('High_Low Voltage Mix Summary'!$B$10:$B$17,$B663,'High_Low Voltage Mix Summary'!$E$10:$E$17),""))</f>
        <v/>
      </c>
      <c r="X293" s="44" t="str">
        <f>IF($P293="High",$T293,IF($P293="Mix",SUMIF('High_Low Voltage Mix Summary'!$B$10:$B$17,$B663,'High_Low Voltage Mix Summary'!$F$10:$F$17),""))</f>
        <v/>
      </c>
      <c r="Y293" s="44" t="str">
        <f>IF($P293="Low",$T293,IF($P293="Mix",SUMIF('High_Low Voltage Mix Summary'!$B$10:$B$17,$B663,'High_Low Voltage Mix Summary'!$G$10:$G$17),""))</f>
        <v/>
      </c>
      <c r="Z293" s="44" t="str">
        <f>IF(OR($P293="High",$P293="Low"),"",IF($P293="Mix",SUMIF('High_Low Voltage Mix Summary'!$B$10:$B$17,$B663,'High_Low Voltage Mix Summary'!$H$10:$H$17),""))</f>
        <v/>
      </c>
      <c r="AB293" s="49">
        <f>SUMIF('Antelope Bailey Split BA'!$B$7:$B$29,B293,'Antelope Bailey Split BA'!$C$7:$C$29)</f>
        <v>0</v>
      </c>
      <c r="AC293" s="49" t="str">
        <f>IF(AND(AB293=1,'Plant Total by Account'!$H$1=2),"EKWRA","")</f>
        <v/>
      </c>
    </row>
    <row r="294" spans="1:29" x14ac:dyDescent="0.2">
      <c r="A294" s="39" t="s">
        <v>2835</v>
      </c>
      <c r="B294" s="45" t="s">
        <v>389</v>
      </c>
      <c r="C294" s="40" t="s">
        <v>3333</v>
      </c>
      <c r="D294" s="53">
        <v>2309.2000000000003</v>
      </c>
      <c r="E294" s="53">
        <v>37082.81</v>
      </c>
      <c r="F294" s="53">
        <v>132042.20000000001</v>
      </c>
      <c r="G294" s="578">
        <f t="shared" si="43"/>
        <v>171434.21000000002</v>
      </c>
      <c r="H294" s="41"/>
      <c r="I294" s="41"/>
      <c r="J294" s="41"/>
      <c r="K294" s="41">
        <f t="shared" si="45"/>
        <v>2309.2000000000003</v>
      </c>
      <c r="L294" s="41">
        <f t="shared" si="46"/>
        <v>37082.81</v>
      </c>
      <c r="M294" s="41">
        <f t="shared" si="47"/>
        <v>132042.20000000001</v>
      </c>
      <c r="N294" s="363">
        <f t="shared" si="44"/>
        <v>0</v>
      </c>
      <c r="O294" s="43" t="s">
        <v>3309</v>
      </c>
      <c r="P294" s="43"/>
      <c r="R294" s="41">
        <f t="shared" si="40"/>
        <v>0</v>
      </c>
      <c r="S294" s="41">
        <f t="shared" si="41"/>
        <v>0</v>
      </c>
      <c r="T294" s="41">
        <f t="shared" si="42"/>
        <v>0</v>
      </c>
      <c r="U294" s="41"/>
      <c r="V294" s="44" t="str">
        <f>IF($P294="High",$S294,IF($P294="Mix",SUMIF('High_Low Voltage Mix Summary'!$B$10:$B$17,$B212,'High_Low Voltage Mix Summary'!$D$10:$D$17),""))</f>
        <v/>
      </c>
      <c r="W294" s="44" t="str">
        <f>IF($P294="Low",$S294,IF($P294="Mix",SUMIF('High_Low Voltage Mix Summary'!$B$10:$B$17,$B212,'High_Low Voltage Mix Summary'!$E$10:$E$17),""))</f>
        <v/>
      </c>
      <c r="X294" s="44" t="str">
        <f>IF($P294="High",$T294,IF($P294="Mix",SUMIF('High_Low Voltage Mix Summary'!$B$10:$B$17,$B212,'High_Low Voltage Mix Summary'!$F$10:$F$17),""))</f>
        <v/>
      </c>
      <c r="Y294" s="44" t="str">
        <f>IF($P294="Low",$T294,IF($P294="Mix",SUMIF('High_Low Voltage Mix Summary'!$B$10:$B$17,$B212,'High_Low Voltage Mix Summary'!$G$10:$G$17),""))</f>
        <v/>
      </c>
      <c r="Z294" s="44" t="str">
        <f>IF(OR($P294="High",$P294="Low"),"",IF($P294="Mix",SUMIF('High_Low Voltage Mix Summary'!$B$10:$B$17,$B212,'High_Low Voltage Mix Summary'!$H$10:$H$17),""))</f>
        <v/>
      </c>
      <c r="AB294" s="49">
        <f>SUMIF('Antelope Bailey Split BA'!$B$7:$B$29,B294,'Antelope Bailey Split BA'!$C$7:$C$29)</f>
        <v>0</v>
      </c>
      <c r="AC294" s="49" t="str">
        <f>IF(AND(AB294=1,'Plant Total by Account'!$H$1=2),"EKWRA","")</f>
        <v/>
      </c>
    </row>
    <row r="295" spans="1:29" x14ac:dyDescent="0.2">
      <c r="A295" s="39" t="s">
        <v>2836</v>
      </c>
      <c r="B295" s="45" t="s">
        <v>390</v>
      </c>
      <c r="C295" s="40" t="s">
        <v>3333</v>
      </c>
      <c r="D295" s="53">
        <v>1318.16</v>
      </c>
      <c r="E295" s="53">
        <v>9220.99</v>
      </c>
      <c r="F295" s="53">
        <v>129113.52</v>
      </c>
      <c r="G295" s="578">
        <f t="shared" si="43"/>
        <v>139652.67000000001</v>
      </c>
      <c r="H295" s="41"/>
      <c r="I295" s="41"/>
      <c r="J295" s="41"/>
      <c r="K295" s="41">
        <f t="shared" si="45"/>
        <v>1318.16</v>
      </c>
      <c r="L295" s="41">
        <f t="shared" si="46"/>
        <v>9220.99</v>
      </c>
      <c r="M295" s="41">
        <f t="shared" si="47"/>
        <v>129113.52</v>
      </c>
      <c r="N295" s="363">
        <f t="shared" si="44"/>
        <v>0</v>
      </c>
      <c r="O295" s="43" t="s">
        <v>3309</v>
      </c>
      <c r="P295" s="43"/>
      <c r="R295" s="41">
        <f t="shared" si="40"/>
        <v>0</v>
      </c>
      <c r="S295" s="41">
        <f t="shared" si="41"/>
        <v>0</v>
      </c>
      <c r="T295" s="41">
        <f t="shared" si="42"/>
        <v>0</v>
      </c>
      <c r="U295" s="41"/>
      <c r="V295" s="44" t="str">
        <f>IF($P295="High",$S295,IF($P295="Mix",SUMIF('High_Low Voltage Mix Summary'!$B$10:$B$17,$B664,'High_Low Voltage Mix Summary'!$D$10:$D$17),""))</f>
        <v/>
      </c>
      <c r="W295" s="44" t="str">
        <f>IF($P295="Low",$S295,IF($P295="Mix",SUMIF('High_Low Voltage Mix Summary'!$B$10:$B$17,$B664,'High_Low Voltage Mix Summary'!$E$10:$E$17),""))</f>
        <v/>
      </c>
      <c r="X295" s="44" t="str">
        <f>IF($P295="High",$T295,IF($P295="Mix",SUMIF('High_Low Voltage Mix Summary'!$B$10:$B$17,$B664,'High_Low Voltage Mix Summary'!$F$10:$F$17),""))</f>
        <v/>
      </c>
      <c r="Y295" s="44" t="str">
        <f>IF($P295="Low",$T295,IF($P295="Mix",SUMIF('High_Low Voltage Mix Summary'!$B$10:$B$17,$B664,'High_Low Voltage Mix Summary'!$G$10:$G$17),""))</f>
        <v/>
      </c>
      <c r="Z295" s="44" t="str">
        <f>IF(OR($P295="High",$P295="Low"),"",IF($P295="Mix",SUMIF('High_Low Voltage Mix Summary'!$B$10:$B$17,$B664,'High_Low Voltage Mix Summary'!$H$10:$H$17),""))</f>
        <v/>
      </c>
      <c r="AB295" s="49">
        <f>SUMIF('Antelope Bailey Split BA'!$B$7:$B$29,B295,'Antelope Bailey Split BA'!$C$7:$C$29)</f>
        <v>0</v>
      </c>
      <c r="AC295" s="49" t="str">
        <f>IF(AND(AB295=1,'Plant Total by Account'!$H$1=2),"EKWRA","")</f>
        <v/>
      </c>
    </row>
    <row r="296" spans="1:29" x14ac:dyDescent="0.2">
      <c r="A296" s="39" t="s">
        <v>2837</v>
      </c>
      <c r="B296" s="45" t="s">
        <v>391</v>
      </c>
      <c r="C296" s="40" t="s">
        <v>3334</v>
      </c>
      <c r="D296" s="53">
        <v>5351.5300000000007</v>
      </c>
      <c r="E296" s="53">
        <v>6113.7000000000007</v>
      </c>
      <c r="F296" s="53">
        <v>302022.55</v>
      </c>
      <c r="G296" s="578">
        <f t="shared" si="43"/>
        <v>313487.77999999997</v>
      </c>
      <c r="H296" s="41"/>
      <c r="I296" s="41"/>
      <c r="J296" s="41"/>
      <c r="K296" s="41">
        <f t="shared" si="45"/>
        <v>5351.5300000000007</v>
      </c>
      <c r="L296" s="41">
        <f t="shared" si="46"/>
        <v>6113.7000000000007</v>
      </c>
      <c r="M296" s="41">
        <f t="shared" si="47"/>
        <v>302022.55</v>
      </c>
      <c r="N296" s="363">
        <f t="shared" si="44"/>
        <v>0</v>
      </c>
      <c r="O296" s="43" t="s">
        <v>3309</v>
      </c>
      <c r="P296" s="43"/>
      <c r="R296" s="41">
        <f t="shared" si="40"/>
        <v>0</v>
      </c>
      <c r="S296" s="41">
        <f t="shared" si="41"/>
        <v>0</v>
      </c>
      <c r="T296" s="41">
        <f t="shared" si="42"/>
        <v>0</v>
      </c>
      <c r="U296" s="41"/>
      <c r="V296" s="44" t="str">
        <f>IF($P296="High",$S296,IF($P296="Mix",SUMIF('High_Low Voltage Mix Summary'!$B$10:$B$17,$B665,'High_Low Voltage Mix Summary'!$D$10:$D$17),""))</f>
        <v/>
      </c>
      <c r="W296" s="44" t="str">
        <f>IF($P296="Low",$S296,IF($P296="Mix",SUMIF('High_Low Voltage Mix Summary'!$B$10:$B$17,$B665,'High_Low Voltage Mix Summary'!$E$10:$E$17),""))</f>
        <v/>
      </c>
      <c r="X296" s="44" t="str">
        <f>IF($P296="High",$T296,IF($P296="Mix",SUMIF('High_Low Voltage Mix Summary'!$B$10:$B$17,$B665,'High_Low Voltage Mix Summary'!$F$10:$F$17),""))</f>
        <v/>
      </c>
      <c r="Y296" s="44" t="str">
        <f>IF($P296="Low",$T296,IF($P296="Mix",SUMIF('High_Low Voltage Mix Summary'!$B$10:$B$17,$B665,'High_Low Voltage Mix Summary'!$G$10:$G$17),""))</f>
        <v/>
      </c>
      <c r="Z296" s="44" t="str">
        <f>IF(OR($P296="High",$P296="Low"),"",IF($P296="Mix",SUMIF('High_Low Voltage Mix Summary'!$B$10:$B$17,$B665,'High_Low Voltage Mix Summary'!$H$10:$H$17),""))</f>
        <v/>
      </c>
      <c r="AB296" s="49">
        <f>SUMIF('Antelope Bailey Split BA'!$B$7:$B$29,B296,'Antelope Bailey Split BA'!$C$7:$C$29)</f>
        <v>0</v>
      </c>
      <c r="AC296" s="49" t="str">
        <f>IF(AND(AB296=1,'Plant Total by Account'!$H$1=2),"EKWRA","")</f>
        <v/>
      </c>
    </row>
    <row r="297" spans="1:29" x14ac:dyDescent="0.2">
      <c r="A297" s="39" t="s">
        <v>2838</v>
      </c>
      <c r="B297" s="45" t="s">
        <v>392</v>
      </c>
      <c r="C297" s="40" t="s">
        <v>3333</v>
      </c>
      <c r="D297" s="53">
        <v>5747.65</v>
      </c>
      <c r="E297" s="53">
        <v>3591.09</v>
      </c>
      <c r="F297" s="53">
        <v>78468.590000000011</v>
      </c>
      <c r="G297" s="578">
        <f t="shared" si="43"/>
        <v>87807.330000000016</v>
      </c>
      <c r="H297" s="41"/>
      <c r="I297" s="41"/>
      <c r="J297" s="41"/>
      <c r="K297" s="41">
        <f t="shared" si="45"/>
        <v>5747.65</v>
      </c>
      <c r="L297" s="41">
        <f t="shared" si="46"/>
        <v>3591.09</v>
      </c>
      <c r="M297" s="41">
        <f t="shared" si="47"/>
        <v>78468.590000000011</v>
      </c>
      <c r="N297" s="363">
        <f t="shared" si="44"/>
        <v>0</v>
      </c>
      <c r="O297" s="43" t="s">
        <v>3309</v>
      </c>
      <c r="P297" s="43"/>
      <c r="R297" s="41">
        <f t="shared" si="40"/>
        <v>0</v>
      </c>
      <c r="S297" s="41">
        <f t="shared" si="41"/>
        <v>0</v>
      </c>
      <c r="T297" s="41">
        <f t="shared" si="42"/>
        <v>0</v>
      </c>
      <c r="U297" s="41"/>
      <c r="V297" s="44" t="str">
        <f>IF($P297="High",$S297,IF($P297="Mix",SUMIF('High_Low Voltage Mix Summary'!$B$10:$B$17,$B213,'High_Low Voltage Mix Summary'!$D$10:$D$17),""))</f>
        <v/>
      </c>
      <c r="W297" s="44" t="str">
        <f>IF($P297="Low",$S297,IF($P297="Mix",SUMIF('High_Low Voltage Mix Summary'!$B$10:$B$17,$B213,'High_Low Voltage Mix Summary'!$E$10:$E$17),""))</f>
        <v/>
      </c>
      <c r="X297" s="44" t="str">
        <f>IF($P297="High",$T297,IF($P297="Mix",SUMIF('High_Low Voltage Mix Summary'!$B$10:$B$17,$B213,'High_Low Voltage Mix Summary'!$F$10:$F$17),""))</f>
        <v/>
      </c>
      <c r="Y297" s="44" t="str">
        <f>IF($P297="Low",$T297,IF($P297="Mix",SUMIF('High_Low Voltage Mix Summary'!$B$10:$B$17,$B213,'High_Low Voltage Mix Summary'!$G$10:$G$17),""))</f>
        <v/>
      </c>
      <c r="Z297" s="44" t="str">
        <f>IF(OR($P297="High",$P297="Low"),"",IF($P297="Mix",SUMIF('High_Low Voltage Mix Summary'!$B$10:$B$17,$B213,'High_Low Voltage Mix Summary'!$H$10:$H$17),""))</f>
        <v/>
      </c>
      <c r="AB297" s="49">
        <f>SUMIF('Antelope Bailey Split BA'!$B$7:$B$29,B297,'Antelope Bailey Split BA'!$C$7:$C$29)</f>
        <v>0</v>
      </c>
      <c r="AC297" s="49" t="str">
        <f>IF(AND(AB297=1,'Plant Total by Account'!$H$1=2),"EKWRA","")</f>
        <v/>
      </c>
    </row>
    <row r="298" spans="1:29" x14ac:dyDescent="0.2">
      <c r="A298" s="39" t="s">
        <v>2839</v>
      </c>
      <c r="B298" s="45" t="s">
        <v>393</v>
      </c>
      <c r="C298" s="40" t="s">
        <v>3334</v>
      </c>
      <c r="D298" s="53">
        <v>10241.220000000001</v>
      </c>
      <c r="E298" s="53">
        <v>17810.62</v>
      </c>
      <c r="F298" s="53">
        <v>454960.78000000014</v>
      </c>
      <c r="G298" s="578">
        <f t="shared" si="43"/>
        <v>483012.62000000017</v>
      </c>
      <c r="H298" s="41"/>
      <c r="I298" s="41"/>
      <c r="J298" s="41"/>
      <c r="K298" s="41">
        <f t="shared" si="45"/>
        <v>10241.220000000001</v>
      </c>
      <c r="L298" s="41">
        <f t="shared" si="46"/>
        <v>17810.62</v>
      </c>
      <c r="M298" s="41">
        <f t="shared" si="47"/>
        <v>454960.78000000014</v>
      </c>
      <c r="N298" s="363">
        <f t="shared" si="44"/>
        <v>0</v>
      </c>
      <c r="O298" s="43" t="s">
        <v>3309</v>
      </c>
      <c r="P298" s="43"/>
      <c r="R298" s="41">
        <f t="shared" si="40"/>
        <v>0</v>
      </c>
      <c r="S298" s="41">
        <f t="shared" si="41"/>
        <v>0</v>
      </c>
      <c r="T298" s="41">
        <f t="shared" si="42"/>
        <v>0</v>
      </c>
      <c r="U298" s="41"/>
      <c r="V298" s="44" t="str">
        <f>IF($P298="High",$S298,IF($P298="Mix",SUMIF('High_Low Voltage Mix Summary'!$B$10:$B$17,$B666,'High_Low Voltage Mix Summary'!$D$10:$D$17),""))</f>
        <v/>
      </c>
      <c r="W298" s="44" t="str">
        <f>IF($P298="Low",$S298,IF($P298="Mix",SUMIF('High_Low Voltage Mix Summary'!$B$10:$B$17,$B666,'High_Low Voltage Mix Summary'!$E$10:$E$17),""))</f>
        <v/>
      </c>
      <c r="X298" s="44" t="str">
        <f>IF($P298="High",$T298,IF($P298="Mix",SUMIF('High_Low Voltage Mix Summary'!$B$10:$B$17,$B666,'High_Low Voltage Mix Summary'!$F$10:$F$17),""))</f>
        <v/>
      </c>
      <c r="Y298" s="44" t="str">
        <f>IF($P298="Low",$T298,IF($P298="Mix",SUMIF('High_Low Voltage Mix Summary'!$B$10:$B$17,$B666,'High_Low Voltage Mix Summary'!$G$10:$G$17),""))</f>
        <v/>
      </c>
      <c r="Z298" s="44" t="str">
        <f>IF(OR($P298="High",$P298="Low"),"",IF($P298="Mix",SUMIF('High_Low Voltage Mix Summary'!$B$10:$B$17,$B666,'High_Low Voltage Mix Summary'!$H$10:$H$17),""))</f>
        <v/>
      </c>
      <c r="AB298" s="49">
        <f>SUMIF('Antelope Bailey Split BA'!$B$7:$B$29,B298,'Antelope Bailey Split BA'!$C$7:$C$29)</f>
        <v>0</v>
      </c>
      <c r="AC298" s="49" t="str">
        <f>IF(AND(AB298=1,'Plant Total by Account'!$H$1=2),"EKWRA","")</f>
        <v/>
      </c>
    </row>
    <row r="299" spans="1:29" x14ac:dyDescent="0.2">
      <c r="A299" s="39" t="s">
        <v>2840</v>
      </c>
      <c r="B299" s="45" t="s">
        <v>394</v>
      </c>
      <c r="C299" s="40" t="s">
        <v>3334</v>
      </c>
      <c r="D299" s="53">
        <v>1846.3899999999999</v>
      </c>
      <c r="E299" s="53">
        <v>14556.32</v>
      </c>
      <c r="F299" s="53">
        <v>531009.74000000011</v>
      </c>
      <c r="G299" s="578">
        <f t="shared" si="43"/>
        <v>547412.45000000007</v>
      </c>
      <c r="H299" s="41"/>
      <c r="I299" s="41"/>
      <c r="J299" s="41"/>
      <c r="K299" s="41">
        <f t="shared" si="45"/>
        <v>1846.3899999999999</v>
      </c>
      <c r="L299" s="41">
        <f t="shared" si="46"/>
        <v>14556.32</v>
      </c>
      <c r="M299" s="41">
        <f t="shared" si="47"/>
        <v>531009.74000000011</v>
      </c>
      <c r="N299" s="363">
        <f t="shared" si="44"/>
        <v>0</v>
      </c>
      <c r="O299" s="43" t="s">
        <v>3309</v>
      </c>
      <c r="P299" s="43"/>
      <c r="R299" s="41">
        <f t="shared" si="40"/>
        <v>0</v>
      </c>
      <c r="S299" s="41">
        <f t="shared" si="41"/>
        <v>0</v>
      </c>
      <c r="T299" s="41">
        <f t="shared" si="42"/>
        <v>0</v>
      </c>
      <c r="U299" s="41"/>
      <c r="V299" s="44" t="str">
        <f>IF($P299="High",$S299,IF($P299="Mix",SUMIF('High_Low Voltage Mix Summary'!$B$10:$B$17,$B214,'High_Low Voltage Mix Summary'!$D$10:$D$17),""))</f>
        <v/>
      </c>
      <c r="W299" s="44" t="str">
        <f>IF($P299="Low",$S299,IF($P299="Mix",SUMIF('High_Low Voltage Mix Summary'!$B$10:$B$17,$B214,'High_Low Voltage Mix Summary'!$E$10:$E$17),""))</f>
        <v/>
      </c>
      <c r="X299" s="44" t="str">
        <f>IF($P299="High",$T299,IF($P299="Mix",SUMIF('High_Low Voltage Mix Summary'!$B$10:$B$17,$B214,'High_Low Voltage Mix Summary'!$F$10:$F$17),""))</f>
        <v/>
      </c>
      <c r="Y299" s="44" t="str">
        <f>IF($P299="Low",$T299,IF($P299="Mix",SUMIF('High_Low Voltage Mix Summary'!$B$10:$B$17,$B214,'High_Low Voltage Mix Summary'!$G$10:$G$17),""))</f>
        <v/>
      </c>
      <c r="Z299" s="44" t="str">
        <f>IF(OR($P299="High",$P299="Low"),"",IF($P299="Mix",SUMIF('High_Low Voltage Mix Summary'!$B$10:$B$17,$B214,'High_Low Voltage Mix Summary'!$H$10:$H$17),""))</f>
        <v/>
      </c>
      <c r="AB299" s="49">
        <f>SUMIF('Antelope Bailey Split BA'!$B$7:$B$29,B299,'Antelope Bailey Split BA'!$C$7:$C$29)</f>
        <v>0</v>
      </c>
      <c r="AC299" s="49" t="str">
        <f>IF(AND(AB299=1,'Plant Total by Account'!$H$1=2),"EKWRA","")</f>
        <v/>
      </c>
    </row>
    <row r="300" spans="1:29" x14ac:dyDescent="0.2">
      <c r="A300" s="39" t="s">
        <v>2841</v>
      </c>
      <c r="B300" s="45" t="s">
        <v>395</v>
      </c>
      <c r="C300" s="40" t="s">
        <v>3334</v>
      </c>
      <c r="D300" s="53">
        <v>4658.6000000000004</v>
      </c>
      <c r="E300" s="53">
        <v>17460.620000000003</v>
      </c>
      <c r="F300" s="53">
        <v>679489.2799999998</v>
      </c>
      <c r="G300" s="578">
        <f t="shared" si="43"/>
        <v>701608.49999999977</v>
      </c>
      <c r="H300" s="41"/>
      <c r="I300" s="41"/>
      <c r="J300" s="41"/>
      <c r="K300" s="41">
        <f t="shared" si="45"/>
        <v>4658.6000000000004</v>
      </c>
      <c r="L300" s="41">
        <f t="shared" si="46"/>
        <v>17460.620000000003</v>
      </c>
      <c r="M300" s="41">
        <f t="shared" si="47"/>
        <v>679489.2799999998</v>
      </c>
      <c r="N300" s="363">
        <f t="shared" si="44"/>
        <v>0</v>
      </c>
      <c r="O300" s="43" t="s">
        <v>3309</v>
      </c>
      <c r="P300" s="43"/>
      <c r="R300" s="41">
        <f t="shared" si="40"/>
        <v>0</v>
      </c>
      <c r="S300" s="41">
        <f t="shared" si="41"/>
        <v>0</v>
      </c>
      <c r="T300" s="41">
        <f t="shared" si="42"/>
        <v>0</v>
      </c>
      <c r="U300" s="41"/>
      <c r="V300" s="44" t="str">
        <f>IF($P300="High",$S300,IF($P300="Mix",SUMIF('High_Low Voltage Mix Summary'!$B$10:$B$17,$B215,'High_Low Voltage Mix Summary'!$D$10:$D$17),""))</f>
        <v/>
      </c>
      <c r="W300" s="44" t="str">
        <f>IF($P300="Low",$S300,IF($P300="Mix",SUMIF('High_Low Voltage Mix Summary'!$B$10:$B$17,$B215,'High_Low Voltage Mix Summary'!$E$10:$E$17),""))</f>
        <v/>
      </c>
      <c r="X300" s="44" t="str">
        <f>IF($P300="High",$T300,IF($P300="Mix",SUMIF('High_Low Voltage Mix Summary'!$B$10:$B$17,$B215,'High_Low Voltage Mix Summary'!$F$10:$F$17),""))</f>
        <v/>
      </c>
      <c r="Y300" s="44" t="str">
        <f>IF($P300="Low",$T300,IF($P300="Mix",SUMIF('High_Low Voltage Mix Summary'!$B$10:$B$17,$B215,'High_Low Voltage Mix Summary'!$G$10:$G$17),""))</f>
        <v/>
      </c>
      <c r="Z300" s="44" t="str">
        <f>IF(OR($P300="High",$P300="Low"),"",IF($P300="Mix",SUMIF('High_Low Voltage Mix Summary'!$B$10:$B$17,$B215,'High_Low Voltage Mix Summary'!$H$10:$H$17),""))</f>
        <v/>
      </c>
      <c r="AB300" s="49">
        <f>SUMIF('Antelope Bailey Split BA'!$B$7:$B$29,B300,'Antelope Bailey Split BA'!$C$7:$C$29)</f>
        <v>0</v>
      </c>
      <c r="AC300" s="49" t="str">
        <f>IF(AND(AB300=1,'Plant Total by Account'!$H$1=2),"EKWRA","")</f>
        <v/>
      </c>
    </row>
    <row r="301" spans="1:29" x14ac:dyDescent="0.2">
      <c r="A301" s="39" t="s">
        <v>2842</v>
      </c>
      <c r="B301" s="45" t="s">
        <v>396</v>
      </c>
      <c r="C301" s="40" t="s">
        <v>3334</v>
      </c>
      <c r="D301" s="53">
        <v>1738.77</v>
      </c>
      <c r="E301" s="53">
        <v>16676.45</v>
      </c>
      <c r="F301" s="53">
        <v>1064892.6700000002</v>
      </c>
      <c r="G301" s="578">
        <f t="shared" si="43"/>
        <v>1083307.8900000001</v>
      </c>
      <c r="H301" s="41"/>
      <c r="I301" s="41"/>
      <c r="J301" s="41"/>
      <c r="K301" s="41">
        <f t="shared" si="45"/>
        <v>1738.77</v>
      </c>
      <c r="L301" s="41">
        <f t="shared" si="46"/>
        <v>16676.45</v>
      </c>
      <c r="M301" s="41">
        <f t="shared" si="47"/>
        <v>1064892.6700000002</v>
      </c>
      <c r="N301" s="363">
        <f t="shared" si="44"/>
        <v>0</v>
      </c>
      <c r="O301" s="43" t="s">
        <v>3309</v>
      </c>
      <c r="P301" s="43"/>
      <c r="R301" s="41">
        <f t="shared" si="40"/>
        <v>0</v>
      </c>
      <c r="S301" s="41">
        <f t="shared" si="41"/>
        <v>0</v>
      </c>
      <c r="T301" s="41">
        <f t="shared" si="42"/>
        <v>0</v>
      </c>
      <c r="U301" s="41"/>
      <c r="V301" s="44" t="str">
        <f>IF($P301="High",$S301,IF($P301="Mix",SUMIF('High_Low Voltage Mix Summary'!$B$10:$B$17,$B216,'High_Low Voltage Mix Summary'!$D$10:$D$17),""))</f>
        <v/>
      </c>
      <c r="W301" s="44" t="str">
        <f>IF($P301="Low",$S301,IF($P301="Mix",SUMIF('High_Low Voltage Mix Summary'!$B$10:$B$17,$B216,'High_Low Voltage Mix Summary'!$E$10:$E$17),""))</f>
        <v/>
      </c>
      <c r="X301" s="44" t="str">
        <f>IF($P301="High",$T301,IF($P301="Mix",SUMIF('High_Low Voltage Mix Summary'!$B$10:$B$17,$B216,'High_Low Voltage Mix Summary'!$F$10:$F$17),""))</f>
        <v/>
      </c>
      <c r="Y301" s="44" t="str">
        <f>IF($P301="Low",$T301,IF($P301="Mix",SUMIF('High_Low Voltage Mix Summary'!$B$10:$B$17,$B216,'High_Low Voltage Mix Summary'!$G$10:$G$17),""))</f>
        <v/>
      </c>
      <c r="Z301" s="44" t="str">
        <f>IF(OR($P301="High",$P301="Low"),"",IF($P301="Mix",SUMIF('High_Low Voltage Mix Summary'!$B$10:$B$17,$B216,'High_Low Voltage Mix Summary'!$H$10:$H$17),""))</f>
        <v/>
      </c>
      <c r="AB301" s="49">
        <f>SUMIF('Antelope Bailey Split BA'!$B$7:$B$29,B301,'Antelope Bailey Split BA'!$C$7:$C$29)</f>
        <v>0</v>
      </c>
      <c r="AC301" s="49" t="str">
        <f>IF(AND(AB301=1,'Plant Total by Account'!$H$1=2),"EKWRA","")</f>
        <v/>
      </c>
    </row>
    <row r="302" spans="1:29" x14ac:dyDescent="0.2">
      <c r="A302" s="39" t="s">
        <v>2843</v>
      </c>
      <c r="B302" s="45" t="s">
        <v>397</v>
      </c>
      <c r="C302" s="40" t="s">
        <v>3334</v>
      </c>
      <c r="D302" s="53">
        <v>2788.23</v>
      </c>
      <c r="E302" s="53">
        <v>40519.31</v>
      </c>
      <c r="F302" s="53">
        <v>403610.14999999991</v>
      </c>
      <c r="G302" s="578">
        <f t="shared" si="43"/>
        <v>446917.68999999989</v>
      </c>
      <c r="H302" s="41"/>
      <c r="I302" s="41"/>
      <c r="J302" s="41"/>
      <c r="K302" s="41">
        <f t="shared" si="45"/>
        <v>2788.23</v>
      </c>
      <c r="L302" s="41">
        <f t="shared" si="46"/>
        <v>40519.31</v>
      </c>
      <c r="M302" s="41">
        <f t="shared" si="47"/>
        <v>403610.14999999991</v>
      </c>
      <c r="N302" s="363">
        <f t="shared" si="44"/>
        <v>0</v>
      </c>
      <c r="O302" s="43" t="s">
        <v>3309</v>
      </c>
      <c r="P302" s="43"/>
      <c r="R302" s="41">
        <f t="shared" si="40"/>
        <v>0</v>
      </c>
      <c r="S302" s="41">
        <f t="shared" si="41"/>
        <v>0</v>
      </c>
      <c r="T302" s="41">
        <f t="shared" si="42"/>
        <v>0</v>
      </c>
      <c r="U302" s="41"/>
      <c r="V302" s="44" t="str">
        <f>IF($P302="High",$S302,IF($P302="Mix",SUMIF('High_Low Voltage Mix Summary'!$B$10:$B$17,$B217,'High_Low Voltage Mix Summary'!$D$10:$D$17),""))</f>
        <v/>
      </c>
      <c r="W302" s="44" t="str">
        <f>IF($P302="Low",$S302,IF($P302="Mix",SUMIF('High_Low Voltage Mix Summary'!$B$10:$B$17,$B217,'High_Low Voltage Mix Summary'!$E$10:$E$17),""))</f>
        <v/>
      </c>
      <c r="X302" s="44" t="str">
        <f>IF($P302="High",$T302,IF($P302="Mix",SUMIF('High_Low Voltage Mix Summary'!$B$10:$B$17,$B217,'High_Low Voltage Mix Summary'!$F$10:$F$17),""))</f>
        <v/>
      </c>
      <c r="Y302" s="44" t="str">
        <f>IF($P302="Low",$T302,IF($P302="Mix",SUMIF('High_Low Voltage Mix Summary'!$B$10:$B$17,$B217,'High_Low Voltage Mix Summary'!$G$10:$G$17),""))</f>
        <v/>
      </c>
      <c r="Z302" s="44" t="str">
        <f>IF(OR($P302="High",$P302="Low"),"",IF($P302="Mix",SUMIF('High_Low Voltage Mix Summary'!$B$10:$B$17,$B217,'High_Low Voltage Mix Summary'!$H$10:$H$17),""))</f>
        <v/>
      </c>
      <c r="AB302" s="49">
        <f>SUMIF('Antelope Bailey Split BA'!$B$7:$B$29,B302,'Antelope Bailey Split BA'!$C$7:$C$29)</f>
        <v>0</v>
      </c>
      <c r="AC302" s="49" t="str">
        <f>IF(AND(AB302=1,'Plant Total by Account'!$H$1=2),"EKWRA","")</f>
        <v/>
      </c>
    </row>
    <row r="303" spans="1:29" x14ac:dyDescent="0.2">
      <c r="A303" s="39" t="s">
        <v>2844</v>
      </c>
      <c r="B303" s="45" t="s">
        <v>398</v>
      </c>
      <c r="C303" s="40" t="s">
        <v>3334</v>
      </c>
      <c r="D303" s="53">
        <v>6973.4000000000005</v>
      </c>
      <c r="E303" s="53">
        <v>34506.620000000003</v>
      </c>
      <c r="F303" s="53">
        <v>628548.54999999993</v>
      </c>
      <c r="G303" s="578">
        <f t="shared" si="43"/>
        <v>670028.56999999995</v>
      </c>
      <c r="H303" s="41"/>
      <c r="I303" s="41"/>
      <c r="J303" s="41"/>
      <c r="K303" s="41">
        <f t="shared" si="45"/>
        <v>6973.4000000000005</v>
      </c>
      <c r="L303" s="41">
        <f t="shared" si="46"/>
        <v>34506.620000000003</v>
      </c>
      <c r="M303" s="41">
        <f t="shared" si="47"/>
        <v>628548.54999999993</v>
      </c>
      <c r="N303" s="363">
        <f t="shared" si="44"/>
        <v>0</v>
      </c>
      <c r="O303" s="43" t="s">
        <v>3309</v>
      </c>
      <c r="P303" s="43"/>
      <c r="R303" s="41">
        <f t="shared" si="40"/>
        <v>0</v>
      </c>
      <c r="S303" s="41">
        <f t="shared" si="41"/>
        <v>0</v>
      </c>
      <c r="T303" s="41">
        <f t="shared" si="42"/>
        <v>0</v>
      </c>
      <c r="U303" s="41"/>
      <c r="V303" s="44" t="str">
        <f>IF($P303="High",$S303,IF($P303="Mix",SUMIF('High_Low Voltage Mix Summary'!$B$10:$B$17,$B218,'High_Low Voltage Mix Summary'!$D$10:$D$17),""))</f>
        <v/>
      </c>
      <c r="W303" s="44" t="str">
        <f>IF($P303="Low",$S303,IF($P303="Mix",SUMIF('High_Low Voltage Mix Summary'!$B$10:$B$17,$B218,'High_Low Voltage Mix Summary'!$E$10:$E$17),""))</f>
        <v/>
      </c>
      <c r="X303" s="44" t="str">
        <f>IF($P303="High",$T303,IF($P303="Mix",SUMIF('High_Low Voltage Mix Summary'!$B$10:$B$17,$B218,'High_Low Voltage Mix Summary'!$F$10:$F$17),""))</f>
        <v/>
      </c>
      <c r="Y303" s="44" t="str">
        <f>IF($P303="Low",$T303,IF($P303="Mix",SUMIF('High_Low Voltage Mix Summary'!$B$10:$B$17,$B218,'High_Low Voltage Mix Summary'!$G$10:$G$17),""))</f>
        <v/>
      </c>
      <c r="Z303" s="44" t="str">
        <f>IF(OR($P303="High",$P303="Low"),"",IF($P303="Mix",SUMIF('High_Low Voltage Mix Summary'!$B$10:$B$17,$B218,'High_Low Voltage Mix Summary'!$H$10:$H$17),""))</f>
        <v/>
      </c>
      <c r="AB303" s="49">
        <f>SUMIF('Antelope Bailey Split BA'!$B$7:$B$29,B303,'Antelope Bailey Split BA'!$C$7:$C$29)</f>
        <v>0</v>
      </c>
      <c r="AC303" s="49" t="str">
        <f>IF(AND(AB303=1,'Plant Total by Account'!$H$1=2),"EKWRA","")</f>
        <v/>
      </c>
    </row>
    <row r="304" spans="1:29" x14ac:dyDescent="0.2">
      <c r="A304" s="39" t="s">
        <v>2421</v>
      </c>
      <c r="B304" s="45" t="s">
        <v>399</v>
      </c>
      <c r="C304" s="40" t="s">
        <v>3333</v>
      </c>
      <c r="D304" s="53">
        <v>0</v>
      </c>
      <c r="E304" s="53">
        <v>4794.12</v>
      </c>
      <c r="F304" s="53">
        <v>233784.96000000005</v>
      </c>
      <c r="G304" s="578">
        <f t="shared" si="43"/>
        <v>238579.08000000005</v>
      </c>
      <c r="H304" s="41"/>
      <c r="I304" s="41"/>
      <c r="J304" s="41"/>
      <c r="K304" s="41">
        <f t="shared" si="45"/>
        <v>0</v>
      </c>
      <c r="L304" s="41">
        <f t="shared" si="46"/>
        <v>4794.12</v>
      </c>
      <c r="M304" s="41">
        <f t="shared" si="47"/>
        <v>233784.96000000005</v>
      </c>
      <c r="N304" s="363">
        <f t="shared" si="44"/>
        <v>0</v>
      </c>
      <c r="O304" s="43" t="s">
        <v>3309</v>
      </c>
      <c r="P304" s="43"/>
      <c r="R304" s="41">
        <f t="shared" si="40"/>
        <v>0</v>
      </c>
      <c r="S304" s="41">
        <f t="shared" si="41"/>
        <v>0</v>
      </c>
      <c r="T304" s="41">
        <f t="shared" si="42"/>
        <v>0</v>
      </c>
      <c r="U304" s="41"/>
      <c r="V304" s="44" t="str">
        <f>IF($P304="High",$S304,IF($P304="Mix",SUMIF('High_Low Voltage Mix Summary'!$B$10:$B$17,$B219,'High_Low Voltage Mix Summary'!$D$10:$D$17),""))</f>
        <v/>
      </c>
      <c r="W304" s="44" t="str">
        <f>IF($P304="Low",$S304,IF($P304="Mix",SUMIF('High_Low Voltage Mix Summary'!$B$10:$B$17,$B219,'High_Low Voltage Mix Summary'!$E$10:$E$17),""))</f>
        <v/>
      </c>
      <c r="X304" s="44" t="str">
        <f>IF($P304="High",$T304,IF($P304="Mix",SUMIF('High_Low Voltage Mix Summary'!$B$10:$B$17,$B219,'High_Low Voltage Mix Summary'!$F$10:$F$17),""))</f>
        <v/>
      </c>
      <c r="Y304" s="44" t="str">
        <f>IF($P304="Low",$T304,IF($P304="Mix",SUMIF('High_Low Voltage Mix Summary'!$B$10:$B$17,$B219,'High_Low Voltage Mix Summary'!$G$10:$G$17),""))</f>
        <v/>
      </c>
      <c r="Z304" s="44" t="str">
        <f>IF(OR($P304="High",$P304="Low"),"",IF($P304="Mix",SUMIF('High_Low Voltage Mix Summary'!$B$10:$B$17,$B219,'High_Low Voltage Mix Summary'!$H$10:$H$17),""))</f>
        <v/>
      </c>
      <c r="AB304" s="49">
        <f>SUMIF('Antelope Bailey Split BA'!$B$7:$B$29,B304,'Antelope Bailey Split BA'!$C$7:$C$29)</f>
        <v>0</v>
      </c>
      <c r="AC304" s="49" t="str">
        <f>IF(AND(AB304=1,'Plant Total by Account'!$H$1=2),"EKWRA","")</f>
        <v/>
      </c>
    </row>
    <row r="305" spans="1:29" x14ac:dyDescent="0.2">
      <c r="A305" s="39" t="s">
        <v>2845</v>
      </c>
      <c r="B305" s="45" t="s">
        <v>400</v>
      </c>
      <c r="C305" s="40" t="s">
        <v>3334</v>
      </c>
      <c r="D305" s="53">
        <v>7155.5</v>
      </c>
      <c r="E305" s="53">
        <v>25622.080000000002</v>
      </c>
      <c r="F305" s="53">
        <v>871253.77</v>
      </c>
      <c r="G305" s="578">
        <f t="shared" si="43"/>
        <v>904031.35</v>
      </c>
      <c r="H305" s="41"/>
      <c r="I305" s="41"/>
      <c r="J305" s="41"/>
      <c r="K305" s="41">
        <f t="shared" si="45"/>
        <v>7155.5</v>
      </c>
      <c r="L305" s="41">
        <f t="shared" si="46"/>
        <v>25622.080000000002</v>
      </c>
      <c r="M305" s="41">
        <f t="shared" si="47"/>
        <v>871253.77</v>
      </c>
      <c r="N305" s="363">
        <f t="shared" si="44"/>
        <v>0</v>
      </c>
      <c r="O305" s="43" t="s">
        <v>3309</v>
      </c>
      <c r="P305" s="43"/>
      <c r="R305" s="41">
        <f t="shared" si="40"/>
        <v>0</v>
      </c>
      <c r="S305" s="41">
        <f t="shared" si="41"/>
        <v>0</v>
      </c>
      <c r="T305" s="41">
        <f t="shared" si="42"/>
        <v>0</v>
      </c>
      <c r="U305" s="41"/>
      <c r="V305" s="44" t="str">
        <f>IF($P305="High",$S305,IF($P305="Mix",SUMIF('High_Low Voltage Mix Summary'!$B$10:$B$17,$B667,'High_Low Voltage Mix Summary'!$D$10:$D$17),""))</f>
        <v/>
      </c>
      <c r="W305" s="44" t="str">
        <f>IF($P305="Low",$S305,IF($P305="Mix",SUMIF('High_Low Voltage Mix Summary'!$B$10:$B$17,$B667,'High_Low Voltage Mix Summary'!$E$10:$E$17),""))</f>
        <v/>
      </c>
      <c r="X305" s="44" t="str">
        <f>IF($P305="High",$T305,IF($P305="Mix",SUMIF('High_Low Voltage Mix Summary'!$B$10:$B$17,$B667,'High_Low Voltage Mix Summary'!$F$10:$F$17),""))</f>
        <v/>
      </c>
      <c r="Y305" s="44" t="str">
        <f>IF($P305="Low",$T305,IF($P305="Mix",SUMIF('High_Low Voltage Mix Summary'!$B$10:$B$17,$B667,'High_Low Voltage Mix Summary'!$G$10:$G$17),""))</f>
        <v/>
      </c>
      <c r="Z305" s="44" t="str">
        <f>IF(OR($P305="High",$P305="Low"),"",IF($P305="Mix",SUMIF('High_Low Voltage Mix Summary'!$B$10:$B$17,$B667,'High_Low Voltage Mix Summary'!$H$10:$H$17),""))</f>
        <v/>
      </c>
      <c r="AB305" s="49">
        <f>SUMIF('Antelope Bailey Split BA'!$B$7:$B$29,B305,'Antelope Bailey Split BA'!$C$7:$C$29)</f>
        <v>0</v>
      </c>
      <c r="AC305" s="49" t="str">
        <f>IF(AND(AB305=1,'Plant Total by Account'!$H$1=2),"EKWRA","")</f>
        <v/>
      </c>
    </row>
    <row r="306" spans="1:29" x14ac:dyDescent="0.2">
      <c r="A306" s="39" t="s">
        <v>2846</v>
      </c>
      <c r="B306" s="45" t="s">
        <v>401</v>
      </c>
      <c r="C306" s="40" t="s">
        <v>3334</v>
      </c>
      <c r="D306" s="53">
        <v>0</v>
      </c>
      <c r="E306" s="53">
        <v>362250.79</v>
      </c>
      <c r="F306" s="53">
        <v>1655699.0799999998</v>
      </c>
      <c r="G306" s="578">
        <f t="shared" si="43"/>
        <v>2017949.8699999999</v>
      </c>
      <c r="H306" s="41"/>
      <c r="I306" s="41"/>
      <c r="J306" s="41"/>
      <c r="K306" s="41">
        <f t="shared" si="45"/>
        <v>0</v>
      </c>
      <c r="L306" s="41">
        <f t="shared" si="46"/>
        <v>362250.79</v>
      </c>
      <c r="M306" s="41">
        <f t="shared" si="47"/>
        <v>1655699.0799999998</v>
      </c>
      <c r="N306" s="363">
        <f t="shared" si="44"/>
        <v>0</v>
      </c>
      <c r="O306" s="43" t="s">
        <v>3309</v>
      </c>
      <c r="P306" s="43"/>
      <c r="R306" s="41">
        <f t="shared" si="40"/>
        <v>0</v>
      </c>
      <c r="S306" s="41">
        <f t="shared" si="41"/>
        <v>0</v>
      </c>
      <c r="T306" s="41">
        <f t="shared" si="42"/>
        <v>0</v>
      </c>
      <c r="U306" s="41"/>
      <c r="V306" s="44" t="str">
        <f>IF($P306="High",$S306,IF($P306="Mix",SUMIF('High_Low Voltage Mix Summary'!$B$10:$B$17,$B220,'High_Low Voltage Mix Summary'!$D$10:$D$17),""))</f>
        <v/>
      </c>
      <c r="W306" s="44" t="str">
        <f>IF($P306="Low",$S306,IF($P306="Mix",SUMIF('High_Low Voltage Mix Summary'!$B$10:$B$17,$B220,'High_Low Voltage Mix Summary'!$E$10:$E$17),""))</f>
        <v/>
      </c>
      <c r="X306" s="44" t="str">
        <f>IF($P306="High",$T306,IF($P306="Mix",SUMIF('High_Low Voltage Mix Summary'!$B$10:$B$17,$B220,'High_Low Voltage Mix Summary'!$F$10:$F$17),""))</f>
        <v/>
      </c>
      <c r="Y306" s="44" t="str">
        <f>IF($P306="Low",$T306,IF($P306="Mix",SUMIF('High_Low Voltage Mix Summary'!$B$10:$B$17,$B220,'High_Low Voltage Mix Summary'!$G$10:$G$17),""))</f>
        <v/>
      </c>
      <c r="Z306" s="44" t="str">
        <f>IF(OR($P306="High",$P306="Low"),"",IF($P306="Mix",SUMIF('High_Low Voltage Mix Summary'!$B$10:$B$17,$B220,'High_Low Voltage Mix Summary'!$H$10:$H$17),""))</f>
        <v/>
      </c>
      <c r="AB306" s="49">
        <f>SUMIF('Antelope Bailey Split BA'!$B$7:$B$29,B306,'Antelope Bailey Split BA'!$C$7:$C$29)</f>
        <v>0</v>
      </c>
      <c r="AC306" s="49" t="str">
        <f>IF(AND(AB306=1,'Plant Total by Account'!$H$1=2),"EKWRA","")</f>
        <v/>
      </c>
    </row>
    <row r="307" spans="1:29" ht="12.75" customHeight="1" x14ac:dyDescent="0.2">
      <c r="A307" s="39" t="s">
        <v>2422</v>
      </c>
      <c r="B307" s="45" t="s">
        <v>402</v>
      </c>
      <c r="C307" s="40" t="s">
        <v>3334</v>
      </c>
      <c r="D307" s="53">
        <v>678.89</v>
      </c>
      <c r="E307" s="53">
        <v>12925.800000000001</v>
      </c>
      <c r="F307" s="53">
        <v>1172975.2800000005</v>
      </c>
      <c r="G307" s="578">
        <f>SUM(D307:F307)</f>
        <v>1186579.9700000004</v>
      </c>
      <c r="H307" s="41"/>
      <c r="I307" s="41"/>
      <c r="J307" s="41"/>
      <c r="K307" s="41">
        <f>D307</f>
        <v>678.89</v>
      </c>
      <c r="L307" s="41">
        <f>E307</f>
        <v>12925.800000000001</v>
      </c>
      <c r="M307" s="41">
        <f>F307</f>
        <v>1172975.2800000005</v>
      </c>
      <c r="N307" s="363">
        <f>G307-SUM(H307:M307)</f>
        <v>0</v>
      </c>
      <c r="O307" s="43" t="s">
        <v>3309</v>
      </c>
      <c r="P307" s="43"/>
      <c r="R307" s="41">
        <f>SUM(H307:J307)</f>
        <v>0</v>
      </c>
      <c r="S307" s="41">
        <f>H307</f>
        <v>0</v>
      </c>
      <c r="T307" s="41">
        <f>SUM(I307:J307)</f>
        <v>0</v>
      </c>
      <c r="U307" s="41"/>
      <c r="V307" s="44" t="str">
        <f>IF($P307="High",$S307,IF($P307="Mix",SUMIF('High_Low Voltage Mix Summary'!$B$10:$B$17,$B766,'High_Low Voltage Mix Summary'!$D$10:$D$17),""))</f>
        <v/>
      </c>
      <c r="W307" s="44" t="str">
        <f>IF($P307="Low",$S307,IF($P307="Mix",SUMIF('High_Low Voltage Mix Summary'!$B$10:$B$17,$B766,'High_Low Voltage Mix Summary'!$E$10:$E$17),""))</f>
        <v/>
      </c>
      <c r="X307" s="44" t="str">
        <f>IF($P307="High",$T307,IF($P307="Mix",SUMIF('High_Low Voltage Mix Summary'!$B$10:$B$17,$B766,'High_Low Voltage Mix Summary'!$F$10:$F$17),""))</f>
        <v/>
      </c>
      <c r="Y307" s="44" t="str">
        <f>IF($P307="Low",$T307,IF($P307="Mix",SUMIF('High_Low Voltage Mix Summary'!$B$10:$B$17,$B766,'High_Low Voltage Mix Summary'!$G$10:$G$17),""))</f>
        <v/>
      </c>
      <c r="Z307" s="44" t="str">
        <f>IF(OR($P307="High",$P307="Low"),"",IF($P307="Mix",SUMIF('High_Low Voltage Mix Summary'!$B$10:$B$17,$B766,'High_Low Voltage Mix Summary'!$H$10:$H$17),""))</f>
        <v/>
      </c>
      <c r="AB307" s="49">
        <f>SUMIF('Antelope Bailey Split BA'!$B$7:$B$29,B307,'Antelope Bailey Split BA'!$C$7:$C$29)</f>
        <v>1</v>
      </c>
      <c r="AC307" s="49" t="str">
        <f>IF(AND(AB307=1,'Plant Total by Account'!$H$1=2),"EKWRA","")</f>
        <v>EKWRA</v>
      </c>
    </row>
    <row r="308" spans="1:29" ht="12.75" customHeight="1" x14ac:dyDescent="0.2">
      <c r="A308" s="39" t="s">
        <v>2423</v>
      </c>
      <c r="B308" s="45" t="s">
        <v>403</v>
      </c>
      <c r="C308" s="40" t="s">
        <v>3334</v>
      </c>
      <c r="D308" s="53">
        <v>295.7</v>
      </c>
      <c r="E308" s="53">
        <v>640438.54999999993</v>
      </c>
      <c r="F308" s="53">
        <v>8271511.7800000031</v>
      </c>
      <c r="G308" s="578">
        <f t="shared" si="43"/>
        <v>8912246.0300000031</v>
      </c>
      <c r="H308" s="173"/>
      <c r="I308" s="173"/>
      <c r="J308" s="173"/>
      <c r="K308" s="173">
        <f t="shared" si="45"/>
        <v>295.7</v>
      </c>
      <c r="L308" s="173">
        <f t="shared" si="46"/>
        <v>640438.54999999993</v>
      </c>
      <c r="M308" s="173">
        <f t="shared" si="47"/>
        <v>8271511.7800000031</v>
      </c>
      <c r="N308" s="363">
        <f t="shared" si="44"/>
        <v>0</v>
      </c>
      <c r="O308" s="43" t="s">
        <v>3309</v>
      </c>
      <c r="P308" s="43"/>
      <c r="R308" s="41">
        <f t="shared" si="40"/>
        <v>0</v>
      </c>
      <c r="S308" s="41">
        <f t="shared" si="41"/>
        <v>0</v>
      </c>
      <c r="T308" s="41">
        <f t="shared" si="42"/>
        <v>0</v>
      </c>
      <c r="U308" s="41"/>
      <c r="V308" s="44" t="str">
        <f>IF($P308="High",$S308,IF($P308="Mix",SUMIF('High_Low Voltage Mix Summary'!$B$10:$B$17,$B1089,'High_Low Voltage Mix Summary'!$D$10:$D$17),""))</f>
        <v/>
      </c>
      <c r="W308" s="44" t="str">
        <f>IF($P308="Low",$S308,IF($P308="Mix",SUMIF('High_Low Voltage Mix Summary'!$B$10:$B$17,$B1089,'High_Low Voltage Mix Summary'!$E$10:$E$17),""))</f>
        <v/>
      </c>
      <c r="X308" s="44" t="str">
        <f>IF($P308="High",$T308,IF($P308="Mix",SUMIF('High_Low Voltage Mix Summary'!$B$10:$B$17,$B1089,'High_Low Voltage Mix Summary'!$F$10:$F$17),""))</f>
        <v/>
      </c>
      <c r="Y308" s="44" t="str">
        <f>IF($P308="Low",$T308,IF($P308="Mix",SUMIF('High_Low Voltage Mix Summary'!$B$10:$B$17,$B1089,'High_Low Voltage Mix Summary'!$G$10:$G$17),""))</f>
        <v/>
      </c>
      <c r="Z308" s="44" t="str">
        <f>IF(OR($P308="High",$P308="Low"),"",IF($P308="Mix",SUMIF('High_Low Voltage Mix Summary'!$B$10:$B$17,$B1089,'High_Low Voltage Mix Summary'!$H$10:$H$17),""))</f>
        <v/>
      </c>
      <c r="AB308" s="49">
        <f>SUMIF('Antelope Bailey Split BA'!$B$7:$B$29,B308,'Antelope Bailey Split BA'!$C$7:$C$29)</f>
        <v>1</v>
      </c>
      <c r="AC308" s="49" t="str">
        <f>IF(AND(AB308=1,'Plant Total by Account'!$H$1=2),"EKWRA","")</f>
        <v>EKWRA</v>
      </c>
    </row>
    <row r="309" spans="1:29" x14ac:dyDescent="0.2">
      <c r="A309" s="39" t="s">
        <v>2847</v>
      </c>
      <c r="B309" s="45" t="s">
        <v>404</v>
      </c>
      <c r="C309" s="40" t="s">
        <v>3334</v>
      </c>
      <c r="D309" s="53">
        <v>43083.57</v>
      </c>
      <c r="E309" s="53">
        <v>1482.22</v>
      </c>
      <c r="F309" s="53">
        <v>2603967.0700000003</v>
      </c>
      <c r="G309" s="578">
        <f t="shared" si="43"/>
        <v>2648532.8600000003</v>
      </c>
      <c r="H309" s="41"/>
      <c r="I309" s="41"/>
      <c r="J309" s="41"/>
      <c r="K309" s="41">
        <f t="shared" si="45"/>
        <v>43083.57</v>
      </c>
      <c r="L309" s="41">
        <f t="shared" si="46"/>
        <v>1482.22</v>
      </c>
      <c r="M309" s="41">
        <f t="shared" si="47"/>
        <v>2603967.0700000003</v>
      </c>
      <c r="N309" s="363">
        <f t="shared" si="44"/>
        <v>0</v>
      </c>
      <c r="O309" s="43" t="s">
        <v>3309</v>
      </c>
      <c r="P309" s="43"/>
      <c r="R309" s="41">
        <f t="shared" si="40"/>
        <v>0</v>
      </c>
      <c r="S309" s="41">
        <f t="shared" si="41"/>
        <v>0</v>
      </c>
      <c r="T309" s="41">
        <f t="shared" si="42"/>
        <v>0</v>
      </c>
      <c r="U309" s="41"/>
      <c r="V309" s="44" t="str">
        <f>IF($P309="High",$S309,IF($P309="Mix",SUMIF('High_Low Voltage Mix Summary'!$B$10:$B$17,$B582,'High_Low Voltage Mix Summary'!$D$10:$D$17),""))</f>
        <v/>
      </c>
      <c r="W309" s="44" t="str">
        <f>IF($P309="Low",$S309,IF($P309="Mix",SUMIF('High_Low Voltage Mix Summary'!$B$10:$B$17,$B582,'High_Low Voltage Mix Summary'!$E$10:$E$17),""))</f>
        <v/>
      </c>
      <c r="X309" s="44" t="str">
        <f>IF($P309="High",$T309,IF($P309="Mix",SUMIF('High_Low Voltage Mix Summary'!$B$10:$B$17,$B582,'High_Low Voltage Mix Summary'!$F$10:$F$17),""))</f>
        <v/>
      </c>
      <c r="Y309" s="44" t="str">
        <f>IF($P309="Low",$T309,IF($P309="Mix",SUMIF('High_Low Voltage Mix Summary'!$B$10:$B$17,$B582,'High_Low Voltage Mix Summary'!$G$10:$G$17),""))</f>
        <v/>
      </c>
      <c r="Z309" s="44" t="str">
        <f>IF(OR($P309="High",$P309="Low"),"",IF($P309="Mix",SUMIF('High_Low Voltage Mix Summary'!$B$10:$B$17,$B582,'High_Low Voltage Mix Summary'!$H$10:$H$17),""))</f>
        <v/>
      </c>
      <c r="AB309" s="49">
        <f>SUMIF('Antelope Bailey Split BA'!$B$7:$B$29,B309,'Antelope Bailey Split BA'!$C$7:$C$29)</f>
        <v>0</v>
      </c>
      <c r="AC309" s="49" t="str">
        <f>IF(AND(AB309=1,'Plant Total by Account'!$H$1=2),"EKWRA","")</f>
        <v/>
      </c>
    </row>
    <row r="310" spans="1:29" x14ac:dyDescent="0.2">
      <c r="A310" s="39" t="s">
        <v>2848</v>
      </c>
      <c r="B310" s="45" t="s">
        <v>405</v>
      </c>
      <c r="C310" s="40" t="s">
        <v>3334</v>
      </c>
      <c r="D310" s="53">
        <v>12560.53</v>
      </c>
      <c r="E310" s="53">
        <v>16137.58</v>
      </c>
      <c r="F310" s="53">
        <v>737610.26999999979</v>
      </c>
      <c r="G310" s="578">
        <f t="shared" si="43"/>
        <v>766308.37999999977</v>
      </c>
      <c r="H310" s="41"/>
      <c r="I310" s="41"/>
      <c r="J310" s="41"/>
      <c r="K310" s="41">
        <f t="shared" si="45"/>
        <v>12560.53</v>
      </c>
      <c r="L310" s="41">
        <f t="shared" si="46"/>
        <v>16137.58</v>
      </c>
      <c r="M310" s="41">
        <f t="shared" si="47"/>
        <v>737610.26999999979</v>
      </c>
      <c r="N310" s="363">
        <f t="shared" si="44"/>
        <v>0</v>
      </c>
      <c r="O310" s="43" t="s">
        <v>3309</v>
      </c>
      <c r="P310" s="43"/>
      <c r="R310" s="41">
        <f t="shared" si="40"/>
        <v>0</v>
      </c>
      <c r="S310" s="41">
        <f t="shared" si="41"/>
        <v>0</v>
      </c>
      <c r="T310" s="41">
        <f t="shared" si="42"/>
        <v>0</v>
      </c>
      <c r="U310" s="41"/>
      <c r="V310" s="44" t="str">
        <f>IF($P310="High",$S310,IF($P310="Mix",SUMIF('High_Low Voltage Mix Summary'!$B$10:$B$17,$B562,'High_Low Voltage Mix Summary'!$D$10:$D$17),""))</f>
        <v/>
      </c>
      <c r="W310" s="44" t="str">
        <f>IF($P310="Low",$S310,IF($P310="Mix",SUMIF('High_Low Voltage Mix Summary'!$B$10:$B$17,$B562,'High_Low Voltage Mix Summary'!$E$10:$E$17),""))</f>
        <v/>
      </c>
      <c r="X310" s="44" t="str">
        <f>IF($P310="High",$T310,IF($P310="Mix",SUMIF('High_Low Voltage Mix Summary'!$B$10:$B$17,$B562,'High_Low Voltage Mix Summary'!$F$10:$F$17),""))</f>
        <v/>
      </c>
      <c r="Y310" s="44" t="str">
        <f>IF($P310="Low",$T310,IF($P310="Mix",SUMIF('High_Low Voltage Mix Summary'!$B$10:$B$17,$B562,'High_Low Voltage Mix Summary'!$G$10:$G$17),""))</f>
        <v/>
      </c>
      <c r="Z310" s="44" t="str">
        <f>IF(OR($P310="High",$P310="Low"),"",IF($P310="Mix",SUMIF('High_Low Voltage Mix Summary'!$B$10:$B$17,$B562,'High_Low Voltage Mix Summary'!$H$10:$H$17),""))</f>
        <v/>
      </c>
      <c r="AB310" s="49">
        <f>SUMIF('Antelope Bailey Split BA'!$B$7:$B$29,B310,'Antelope Bailey Split BA'!$C$7:$C$29)</f>
        <v>0</v>
      </c>
      <c r="AC310" s="49" t="str">
        <f>IF(AND(AB310=1,'Plant Total by Account'!$H$1=2),"EKWRA","")</f>
        <v/>
      </c>
    </row>
    <row r="311" spans="1:29" x14ac:dyDescent="0.2">
      <c r="A311" s="39" t="s">
        <v>2849</v>
      </c>
      <c r="B311" s="45" t="s">
        <v>406</v>
      </c>
      <c r="C311" s="40" t="s">
        <v>3334</v>
      </c>
      <c r="D311" s="53">
        <v>3467.7400000000002</v>
      </c>
      <c r="E311" s="53">
        <v>13192.74</v>
      </c>
      <c r="F311" s="53">
        <v>43671.840000000004</v>
      </c>
      <c r="G311" s="578">
        <f t="shared" si="43"/>
        <v>60332.320000000007</v>
      </c>
      <c r="H311" s="41"/>
      <c r="I311" s="41"/>
      <c r="J311" s="41"/>
      <c r="K311" s="41">
        <f t="shared" si="45"/>
        <v>3467.7400000000002</v>
      </c>
      <c r="L311" s="41">
        <f t="shared" si="46"/>
        <v>13192.74</v>
      </c>
      <c r="M311" s="41">
        <f t="shared" si="47"/>
        <v>43671.840000000004</v>
      </c>
      <c r="N311" s="363">
        <f t="shared" si="44"/>
        <v>0</v>
      </c>
      <c r="O311" s="43" t="s">
        <v>3309</v>
      </c>
      <c r="P311" s="43"/>
      <c r="R311" s="41">
        <f t="shared" si="40"/>
        <v>0</v>
      </c>
      <c r="S311" s="41">
        <f t="shared" si="41"/>
        <v>0</v>
      </c>
      <c r="T311" s="41">
        <f t="shared" si="42"/>
        <v>0</v>
      </c>
      <c r="U311" s="41"/>
      <c r="V311" s="44" t="str">
        <f>IF($P311="High",$S311,IF($P311="Mix",SUMIF('High_Low Voltage Mix Summary'!$B$10:$B$17,$B220,'High_Low Voltage Mix Summary'!$D$10:$D$17),""))</f>
        <v/>
      </c>
      <c r="W311" s="44" t="str">
        <f>IF($P311="Low",$S311,IF($P311="Mix",SUMIF('High_Low Voltage Mix Summary'!$B$10:$B$17,$B220,'High_Low Voltage Mix Summary'!$E$10:$E$17),""))</f>
        <v/>
      </c>
      <c r="X311" s="44" t="str">
        <f>IF($P311="High",$T311,IF($P311="Mix",SUMIF('High_Low Voltage Mix Summary'!$B$10:$B$17,$B220,'High_Low Voltage Mix Summary'!$F$10:$F$17),""))</f>
        <v/>
      </c>
      <c r="Y311" s="44" t="str">
        <f>IF($P311="Low",$T311,IF($P311="Mix",SUMIF('High_Low Voltage Mix Summary'!$B$10:$B$17,$B220,'High_Low Voltage Mix Summary'!$G$10:$G$17),""))</f>
        <v/>
      </c>
      <c r="Z311" s="44" t="str">
        <f>IF(OR($P311="High",$P311="Low"),"",IF($P311="Mix",SUMIF('High_Low Voltage Mix Summary'!$B$10:$B$17,$B220,'High_Low Voltage Mix Summary'!$H$10:$H$17),""))</f>
        <v/>
      </c>
      <c r="AB311" s="49">
        <f>SUMIF('Antelope Bailey Split BA'!$B$7:$B$29,B311,'Antelope Bailey Split BA'!$C$7:$C$29)</f>
        <v>0</v>
      </c>
      <c r="AC311" s="49" t="str">
        <f>IF(AND(AB311=1,'Plant Total by Account'!$H$1=2),"EKWRA","")</f>
        <v/>
      </c>
    </row>
    <row r="312" spans="1:29" ht="12.75" customHeight="1" x14ac:dyDescent="0.2">
      <c r="A312" s="39" t="s">
        <v>2850</v>
      </c>
      <c r="B312" s="45" t="s">
        <v>407</v>
      </c>
      <c r="C312" s="40" t="s">
        <v>3334</v>
      </c>
      <c r="D312" s="53">
        <v>35760.450000000004</v>
      </c>
      <c r="E312" s="53">
        <v>0</v>
      </c>
      <c r="F312" s="53">
        <v>319855.35999999993</v>
      </c>
      <c r="G312" s="578">
        <f t="shared" si="43"/>
        <v>355615.80999999994</v>
      </c>
      <c r="H312" s="41"/>
      <c r="I312" s="41"/>
      <c r="J312" s="41"/>
      <c r="K312" s="41">
        <f t="shared" si="45"/>
        <v>35760.450000000004</v>
      </c>
      <c r="L312" s="41">
        <f t="shared" si="46"/>
        <v>0</v>
      </c>
      <c r="M312" s="41">
        <f t="shared" si="47"/>
        <v>319855.35999999993</v>
      </c>
      <c r="N312" s="363">
        <f t="shared" si="44"/>
        <v>0</v>
      </c>
      <c r="O312" s="43" t="s">
        <v>3309</v>
      </c>
      <c r="P312" s="43"/>
      <c r="R312" s="41">
        <f t="shared" si="40"/>
        <v>0</v>
      </c>
      <c r="S312" s="41">
        <f t="shared" si="41"/>
        <v>0</v>
      </c>
      <c r="T312" s="41">
        <f t="shared" si="42"/>
        <v>0</v>
      </c>
      <c r="U312" s="41"/>
      <c r="V312" s="44" t="str">
        <f>IF($P312="High",$S312,IF($P312="Mix",SUMIF('High_Low Voltage Mix Summary'!$B$10:$B$17,$B221,'High_Low Voltage Mix Summary'!$D$10:$D$17),""))</f>
        <v/>
      </c>
      <c r="W312" s="44" t="str">
        <f>IF($P312="Low",$S312,IF($P312="Mix",SUMIF('High_Low Voltage Mix Summary'!$B$10:$B$17,$B221,'High_Low Voltage Mix Summary'!$E$10:$E$17),""))</f>
        <v/>
      </c>
      <c r="X312" s="44" t="str">
        <f>IF($P312="High",$T312,IF($P312="Mix",SUMIF('High_Low Voltage Mix Summary'!$B$10:$B$17,$B221,'High_Low Voltage Mix Summary'!$F$10:$F$17),""))</f>
        <v/>
      </c>
      <c r="Y312" s="44" t="str">
        <f>IF($P312="Low",$T312,IF($P312="Mix",SUMIF('High_Low Voltage Mix Summary'!$B$10:$B$17,$B221,'High_Low Voltage Mix Summary'!$G$10:$G$17),""))</f>
        <v/>
      </c>
      <c r="Z312" s="44" t="str">
        <f>IF(OR($P312="High",$P312="Low"),"",IF($P312="Mix",SUMIF('High_Low Voltage Mix Summary'!$B$10:$B$17,$B221,'High_Low Voltage Mix Summary'!$H$10:$H$17),""))</f>
        <v/>
      </c>
      <c r="AB312" s="49">
        <f>SUMIF('Antelope Bailey Split BA'!$B$7:$B$29,B312,'Antelope Bailey Split BA'!$C$7:$C$29)</f>
        <v>0</v>
      </c>
      <c r="AC312" s="49" t="str">
        <f>IF(AND(AB312=1,'Plant Total by Account'!$H$1=2),"EKWRA","")</f>
        <v/>
      </c>
    </row>
    <row r="313" spans="1:29" x14ac:dyDescent="0.2">
      <c r="A313" s="39" t="s">
        <v>2851</v>
      </c>
      <c r="B313" s="45" t="s">
        <v>409</v>
      </c>
      <c r="C313" s="40" t="s">
        <v>3334</v>
      </c>
      <c r="D313" s="53">
        <v>0</v>
      </c>
      <c r="E313" s="53">
        <v>30744.120000000003</v>
      </c>
      <c r="F313" s="53">
        <v>346029.92000000004</v>
      </c>
      <c r="G313" s="578">
        <f t="shared" si="43"/>
        <v>376774.04000000004</v>
      </c>
      <c r="H313" s="41"/>
      <c r="I313" s="41"/>
      <c r="J313" s="41"/>
      <c r="K313" s="41">
        <f t="shared" si="45"/>
        <v>0</v>
      </c>
      <c r="L313" s="41">
        <f t="shared" si="46"/>
        <v>30744.120000000003</v>
      </c>
      <c r="M313" s="41">
        <f t="shared" si="47"/>
        <v>346029.92000000004</v>
      </c>
      <c r="N313" s="363">
        <f t="shared" si="44"/>
        <v>0</v>
      </c>
      <c r="O313" s="43" t="s">
        <v>3309</v>
      </c>
      <c r="P313" s="43"/>
      <c r="R313" s="41">
        <f t="shared" si="40"/>
        <v>0</v>
      </c>
      <c r="S313" s="41">
        <f t="shared" si="41"/>
        <v>0</v>
      </c>
      <c r="T313" s="41">
        <f t="shared" si="42"/>
        <v>0</v>
      </c>
      <c r="U313" s="41"/>
      <c r="V313" s="44" t="str">
        <f>IF($P313="High",$S313,IF($P313="Mix",SUMIF('High_Low Voltage Mix Summary'!$B$10:$B$17,$B223,'High_Low Voltage Mix Summary'!$D$10:$D$17),""))</f>
        <v/>
      </c>
      <c r="W313" s="44" t="str">
        <f>IF($P313="Low",$S313,IF($P313="Mix",SUMIF('High_Low Voltage Mix Summary'!$B$10:$B$17,$B223,'High_Low Voltage Mix Summary'!$E$10:$E$17),""))</f>
        <v/>
      </c>
      <c r="X313" s="44" t="str">
        <f>IF($P313="High",$T313,IF($P313="Mix",SUMIF('High_Low Voltage Mix Summary'!$B$10:$B$17,$B223,'High_Low Voltage Mix Summary'!$F$10:$F$17),""))</f>
        <v/>
      </c>
      <c r="Y313" s="44" t="str">
        <f>IF($P313="Low",$T313,IF($P313="Mix",SUMIF('High_Low Voltage Mix Summary'!$B$10:$B$17,$B223,'High_Low Voltage Mix Summary'!$G$10:$G$17),""))</f>
        <v/>
      </c>
      <c r="Z313" s="44" t="str">
        <f>IF(OR($P313="High",$P313="Low"),"",IF($P313="Mix",SUMIF('High_Low Voltage Mix Summary'!$B$10:$B$17,$B223,'High_Low Voltage Mix Summary'!$H$10:$H$17),""))</f>
        <v/>
      </c>
      <c r="AB313" s="49">
        <f>SUMIF('Antelope Bailey Split BA'!$B$7:$B$29,B313,'Antelope Bailey Split BA'!$C$7:$C$29)</f>
        <v>0</v>
      </c>
      <c r="AC313" s="49" t="str">
        <f>IF(AND(AB313=1,'Plant Total by Account'!$H$1=2),"EKWRA","")</f>
        <v/>
      </c>
    </row>
    <row r="314" spans="1:29" x14ac:dyDescent="0.2">
      <c r="A314" s="39" t="s">
        <v>2852</v>
      </c>
      <c r="B314" s="45" t="s">
        <v>410</v>
      </c>
      <c r="C314" s="40" t="s">
        <v>3334</v>
      </c>
      <c r="D314" s="53">
        <v>39443.040000000001</v>
      </c>
      <c r="E314" s="53">
        <v>87535.85</v>
      </c>
      <c r="F314" s="53">
        <v>601357.89000000013</v>
      </c>
      <c r="G314" s="578">
        <f t="shared" si="43"/>
        <v>728336.78000000014</v>
      </c>
      <c r="H314" s="41"/>
      <c r="I314" s="41"/>
      <c r="J314" s="41"/>
      <c r="K314" s="41">
        <f t="shared" si="45"/>
        <v>39443.040000000001</v>
      </c>
      <c r="L314" s="41">
        <f t="shared" si="46"/>
        <v>87535.85</v>
      </c>
      <c r="M314" s="41">
        <f t="shared" si="47"/>
        <v>601357.89000000013</v>
      </c>
      <c r="N314" s="363">
        <f t="shared" si="44"/>
        <v>0</v>
      </c>
      <c r="O314" s="43" t="s">
        <v>3309</v>
      </c>
      <c r="P314" s="43"/>
      <c r="R314" s="41">
        <f t="shared" si="40"/>
        <v>0</v>
      </c>
      <c r="S314" s="41">
        <f t="shared" si="41"/>
        <v>0</v>
      </c>
      <c r="T314" s="41">
        <f t="shared" si="42"/>
        <v>0</v>
      </c>
      <c r="U314" s="41"/>
      <c r="V314" s="44" t="str">
        <f>IF($P314="High",$S314,IF($P314="Mix",SUMIF('High_Low Voltage Mix Summary'!$B$10:$B$17,$B224,'High_Low Voltage Mix Summary'!$D$10:$D$17),""))</f>
        <v/>
      </c>
      <c r="W314" s="44" t="str">
        <f>IF($P314="Low",$S314,IF($P314="Mix",SUMIF('High_Low Voltage Mix Summary'!$B$10:$B$17,$B224,'High_Low Voltage Mix Summary'!$E$10:$E$17),""))</f>
        <v/>
      </c>
      <c r="X314" s="44" t="str">
        <f>IF($P314="High",$T314,IF($P314="Mix",SUMIF('High_Low Voltage Mix Summary'!$B$10:$B$17,$B224,'High_Low Voltage Mix Summary'!$F$10:$F$17),""))</f>
        <v/>
      </c>
      <c r="Y314" s="44" t="str">
        <f>IF($P314="Low",$T314,IF($P314="Mix",SUMIF('High_Low Voltage Mix Summary'!$B$10:$B$17,$B224,'High_Low Voltage Mix Summary'!$G$10:$G$17),""))</f>
        <v/>
      </c>
      <c r="Z314" s="44" t="str">
        <f>IF(OR($P314="High",$P314="Low"),"",IF($P314="Mix",SUMIF('High_Low Voltage Mix Summary'!$B$10:$B$17,$B224,'High_Low Voltage Mix Summary'!$H$10:$H$17),""))</f>
        <v/>
      </c>
      <c r="AB314" s="49">
        <f>SUMIF('Antelope Bailey Split BA'!$B$7:$B$29,B314,'Antelope Bailey Split BA'!$C$7:$C$29)</f>
        <v>0</v>
      </c>
      <c r="AC314" s="49" t="str">
        <f>IF(AND(AB314=1,'Plant Total by Account'!$H$1=2),"EKWRA","")</f>
        <v/>
      </c>
    </row>
    <row r="315" spans="1:29" x14ac:dyDescent="0.2">
      <c r="A315" s="39" t="s">
        <v>2853</v>
      </c>
      <c r="B315" s="40" t="s">
        <v>411</v>
      </c>
      <c r="C315" s="40" t="s">
        <v>3334</v>
      </c>
      <c r="D315" s="53">
        <v>0</v>
      </c>
      <c r="E315" s="53">
        <v>0</v>
      </c>
      <c r="F315" s="53">
        <v>162821.85</v>
      </c>
      <c r="G315" s="578">
        <f t="shared" si="43"/>
        <v>162821.85</v>
      </c>
      <c r="H315" s="41"/>
      <c r="I315" s="41"/>
      <c r="J315" s="41"/>
      <c r="K315" s="41">
        <f t="shared" si="45"/>
        <v>0</v>
      </c>
      <c r="L315" s="41">
        <f t="shared" si="46"/>
        <v>0</v>
      </c>
      <c r="M315" s="41">
        <f t="shared" si="47"/>
        <v>162821.85</v>
      </c>
      <c r="N315" s="363">
        <f t="shared" si="44"/>
        <v>0</v>
      </c>
      <c r="O315" s="43" t="s">
        <v>3309</v>
      </c>
      <c r="P315" s="43"/>
      <c r="R315" s="41">
        <f t="shared" si="40"/>
        <v>0</v>
      </c>
      <c r="S315" s="41">
        <f t="shared" si="41"/>
        <v>0</v>
      </c>
      <c r="T315" s="41">
        <f t="shared" si="42"/>
        <v>0</v>
      </c>
      <c r="U315" s="41"/>
      <c r="V315" s="44" t="str">
        <f>IF($P315="High",$S315,IF($P315="Mix",SUMIF('High_Low Voltage Mix Summary'!$B$10:$B$17,$B143,'High_Low Voltage Mix Summary'!$D$10:$D$17),""))</f>
        <v/>
      </c>
      <c r="W315" s="44" t="str">
        <f>IF($P315="Low",$S315,IF($P315="Mix",SUMIF('High_Low Voltage Mix Summary'!$B$10:$B$17,$B143,'High_Low Voltage Mix Summary'!$E$10:$E$17),""))</f>
        <v/>
      </c>
      <c r="X315" s="44" t="str">
        <f>IF($P315="High",$T315,IF($P315="Mix",SUMIF('High_Low Voltage Mix Summary'!$B$10:$B$17,$B143,'High_Low Voltage Mix Summary'!$F$10:$F$17),""))</f>
        <v/>
      </c>
      <c r="Y315" s="44" t="str">
        <f>IF($P315="Low",$T315,IF($P315="Mix",SUMIF('High_Low Voltage Mix Summary'!$B$10:$B$17,$B143,'High_Low Voltage Mix Summary'!$G$10:$G$17),""))</f>
        <v/>
      </c>
      <c r="Z315" s="44" t="str">
        <f>IF(OR($P315="High",$P315="Low"),"",IF($P315="Mix",SUMIF('High_Low Voltage Mix Summary'!$B$10:$B$17,$B143,'High_Low Voltage Mix Summary'!$H$10:$H$17),""))</f>
        <v/>
      </c>
      <c r="AB315" s="49">
        <f>SUMIF('Antelope Bailey Split BA'!$B$7:$B$29,B315,'Antelope Bailey Split BA'!$C$7:$C$29)</f>
        <v>0</v>
      </c>
      <c r="AC315" s="49" t="str">
        <f>IF(AND(AB315=1,'Plant Total by Account'!$H$1=2),"EKWRA","")</f>
        <v/>
      </c>
    </row>
    <row r="316" spans="1:29" x14ac:dyDescent="0.2">
      <c r="A316" s="39" t="s">
        <v>2854</v>
      </c>
      <c r="B316" s="45" t="s">
        <v>412</v>
      </c>
      <c r="C316" s="40" t="s">
        <v>3334</v>
      </c>
      <c r="D316" s="53">
        <v>6241.06</v>
      </c>
      <c r="E316" s="53">
        <v>20596.02</v>
      </c>
      <c r="F316" s="53">
        <v>552743.07000000007</v>
      </c>
      <c r="G316" s="578">
        <f t="shared" si="43"/>
        <v>579580.15</v>
      </c>
      <c r="H316" s="41"/>
      <c r="I316" s="41"/>
      <c r="J316" s="41"/>
      <c r="K316" s="41">
        <f t="shared" si="45"/>
        <v>6241.06</v>
      </c>
      <c r="L316" s="41">
        <f t="shared" si="46"/>
        <v>20596.02</v>
      </c>
      <c r="M316" s="41">
        <f t="shared" si="47"/>
        <v>552743.07000000007</v>
      </c>
      <c r="N316" s="363">
        <f t="shared" si="44"/>
        <v>0</v>
      </c>
      <c r="O316" s="43" t="s">
        <v>3309</v>
      </c>
      <c r="P316" s="43"/>
      <c r="R316" s="41">
        <f t="shared" si="40"/>
        <v>0</v>
      </c>
      <c r="S316" s="41">
        <f t="shared" si="41"/>
        <v>0</v>
      </c>
      <c r="T316" s="41">
        <f t="shared" si="42"/>
        <v>0</v>
      </c>
      <c r="U316" s="41"/>
      <c r="V316" s="44" t="str">
        <f>IF($P316="High",$S316,IF($P316="Mix",SUMIF('High_Low Voltage Mix Summary'!$B$10:$B$17,$B225,'High_Low Voltage Mix Summary'!$D$10:$D$17),""))</f>
        <v/>
      </c>
      <c r="W316" s="44" t="str">
        <f>IF($P316="Low",$S316,IF($P316="Mix",SUMIF('High_Low Voltage Mix Summary'!$B$10:$B$17,$B225,'High_Low Voltage Mix Summary'!$E$10:$E$17),""))</f>
        <v/>
      </c>
      <c r="X316" s="44" t="str">
        <f>IF($P316="High",$T316,IF($P316="Mix",SUMIF('High_Low Voltage Mix Summary'!$B$10:$B$17,$B225,'High_Low Voltage Mix Summary'!$F$10:$F$17),""))</f>
        <v/>
      </c>
      <c r="Y316" s="44" t="str">
        <f>IF($P316="Low",$T316,IF($P316="Mix",SUMIF('High_Low Voltage Mix Summary'!$B$10:$B$17,$B225,'High_Low Voltage Mix Summary'!$G$10:$G$17),""))</f>
        <v/>
      </c>
      <c r="Z316" s="44" t="str">
        <f>IF(OR($P316="High",$P316="Low"),"",IF($P316="Mix",SUMIF('High_Low Voltage Mix Summary'!$B$10:$B$17,$B225,'High_Low Voltage Mix Summary'!$H$10:$H$17),""))</f>
        <v/>
      </c>
      <c r="AB316" s="49">
        <f>SUMIF('Antelope Bailey Split BA'!$B$7:$B$29,B316,'Antelope Bailey Split BA'!$C$7:$C$29)</f>
        <v>0</v>
      </c>
      <c r="AC316" s="49" t="str">
        <f>IF(AND(AB316=1,'Plant Total by Account'!$H$1=2),"EKWRA","")</f>
        <v/>
      </c>
    </row>
    <row r="317" spans="1:29" x14ac:dyDescent="0.2">
      <c r="A317" s="39" t="s">
        <v>2855</v>
      </c>
      <c r="B317" s="45" t="s">
        <v>413</v>
      </c>
      <c r="C317" s="40" t="s">
        <v>3334</v>
      </c>
      <c r="D317" s="53">
        <v>0</v>
      </c>
      <c r="E317" s="53">
        <v>10138.09</v>
      </c>
      <c r="F317" s="53">
        <v>292628.34000000003</v>
      </c>
      <c r="G317" s="578">
        <f t="shared" si="43"/>
        <v>302766.43000000005</v>
      </c>
      <c r="H317" s="41"/>
      <c r="I317" s="41"/>
      <c r="J317" s="41"/>
      <c r="K317" s="41">
        <f t="shared" si="45"/>
        <v>0</v>
      </c>
      <c r="L317" s="41">
        <f t="shared" si="46"/>
        <v>10138.09</v>
      </c>
      <c r="M317" s="41">
        <f t="shared" si="47"/>
        <v>292628.34000000003</v>
      </c>
      <c r="N317" s="363">
        <f t="shared" si="44"/>
        <v>0</v>
      </c>
      <c r="O317" s="43" t="s">
        <v>3309</v>
      </c>
      <c r="P317" s="43"/>
      <c r="R317" s="41">
        <f t="shared" si="40"/>
        <v>0</v>
      </c>
      <c r="S317" s="41">
        <f t="shared" si="41"/>
        <v>0</v>
      </c>
      <c r="T317" s="41">
        <f t="shared" si="42"/>
        <v>0</v>
      </c>
      <c r="U317" s="41"/>
      <c r="V317" s="44" t="str">
        <f>IF($P317="High",$S317,IF($P317="Mix",SUMIF('High_Low Voltage Mix Summary'!$B$10:$B$17,$B226,'High_Low Voltage Mix Summary'!$D$10:$D$17),""))</f>
        <v/>
      </c>
      <c r="W317" s="44" t="str">
        <f>IF($P317="Low",$S317,IF($P317="Mix",SUMIF('High_Low Voltage Mix Summary'!$B$10:$B$17,$B226,'High_Low Voltage Mix Summary'!$E$10:$E$17),""))</f>
        <v/>
      </c>
      <c r="X317" s="44" t="str">
        <f>IF($P317="High",$T317,IF($P317="Mix",SUMIF('High_Low Voltage Mix Summary'!$B$10:$B$17,$B226,'High_Low Voltage Mix Summary'!$F$10:$F$17),""))</f>
        <v/>
      </c>
      <c r="Y317" s="44" t="str">
        <f>IF($P317="Low",$T317,IF($P317="Mix",SUMIF('High_Low Voltage Mix Summary'!$B$10:$B$17,$B226,'High_Low Voltage Mix Summary'!$G$10:$G$17),""))</f>
        <v/>
      </c>
      <c r="Z317" s="44" t="str">
        <f>IF(OR($P317="High",$P317="Low"),"",IF($P317="Mix",SUMIF('High_Low Voltage Mix Summary'!$B$10:$B$17,$B226,'High_Low Voltage Mix Summary'!$H$10:$H$17),""))</f>
        <v/>
      </c>
      <c r="AB317" s="49">
        <f>SUMIF('Antelope Bailey Split BA'!$B$7:$B$29,B317,'Antelope Bailey Split BA'!$C$7:$C$29)</f>
        <v>0</v>
      </c>
      <c r="AC317" s="49" t="str">
        <f>IF(AND(AB317=1,'Plant Total by Account'!$H$1=2),"EKWRA","")</f>
        <v/>
      </c>
    </row>
    <row r="318" spans="1:29" x14ac:dyDescent="0.2">
      <c r="A318" s="39" t="s">
        <v>2856</v>
      </c>
      <c r="B318" s="45" t="s">
        <v>414</v>
      </c>
      <c r="C318" s="40" t="s">
        <v>3334</v>
      </c>
      <c r="D318" s="53">
        <v>36251.520000000004</v>
      </c>
      <c r="E318" s="53">
        <v>19027.91</v>
      </c>
      <c r="F318" s="53">
        <v>2204413.5499999998</v>
      </c>
      <c r="G318" s="578">
        <f t="shared" si="43"/>
        <v>2259692.98</v>
      </c>
      <c r="H318" s="41"/>
      <c r="I318" s="41"/>
      <c r="J318" s="41"/>
      <c r="K318" s="41">
        <f t="shared" si="45"/>
        <v>36251.520000000004</v>
      </c>
      <c r="L318" s="41">
        <f t="shared" si="46"/>
        <v>19027.91</v>
      </c>
      <c r="M318" s="41">
        <f t="shared" si="47"/>
        <v>2204413.5499999998</v>
      </c>
      <c r="N318" s="363">
        <f t="shared" si="44"/>
        <v>0</v>
      </c>
      <c r="O318" s="43" t="s">
        <v>3309</v>
      </c>
      <c r="P318" s="43"/>
      <c r="R318" s="41">
        <f t="shared" si="40"/>
        <v>0</v>
      </c>
      <c r="S318" s="41">
        <f t="shared" si="41"/>
        <v>0</v>
      </c>
      <c r="T318" s="41">
        <f t="shared" si="42"/>
        <v>0</v>
      </c>
      <c r="U318" s="41"/>
      <c r="V318" s="44" t="str">
        <f>IF($P318="High",$S318,IF($P318="Mix",SUMIF('High_Low Voltage Mix Summary'!$B$10:$B$17,$B227,'High_Low Voltage Mix Summary'!$D$10:$D$17),""))</f>
        <v/>
      </c>
      <c r="W318" s="44" t="str">
        <f>IF($P318="Low",$S318,IF($P318="Mix",SUMIF('High_Low Voltage Mix Summary'!$B$10:$B$17,$B227,'High_Low Voltage Mix Summary'!$E$10:$E$17),""))</f>
        <v/>
      </c>
      <c r="X318" s="44" t="str">
        <f>IF($P318="High",$T318,IF($P318="Mix",SUMIF('High_Low Voltage Mix Summary'!$B$10:$B$17,$B227,'High_Low Voltage Mix Summary'!$F$10:$F$17),""))</f>
        <v/>
      </c>
      <c r="Y318" s="44" t="str">
        <f>IF($P318="Low",$T318,IF($P318="Mix",SUMIF('High_Low Voltage Mix Summary'!$B$10:$B$17,$B227,'High_Low Voltage Mix Summary'!$G$10:$G$17),""))</f>
        <v/>
      </c>
      <c r="Z318" s="44" t="str">
        <f>IF(OR($P318="High",$P318="Low"),"",IF($P318="Mix",SUMIF('High_Low Voltage Mix Summary'!$B$10:$B$17,$B227,'High_Low Voltage Mix Summary'!$H$10:$H$17),""))</f>
        <v/>
      </c>
      <c r="AB318" s="49">
        <f>SUMIF('Antelope Bailey Split BA'!$B$7:$B$29,B318,'Antelope Bailey Split BA'!$C$7:$C$29)</f>
        <v>0</v>
      </c>
      <c r="AC318" s="49" t="str">
        <f>IF(AND(AB318=1,'Plant Total by Account'!$H$1=2),"EKWRA","")</f>
        <v/>
      </c>
    </row>
    <row r="319" spans="1:29" x14ac:dyDescent="0.2">
      <c r="A319" s="39" t="s">
        <v>2857</v>
      </c>
      <c r="B319" s="45" t="s">
        <v>415</v>
      </c>
      <c r="C319" s="40" t="s">
        <v>3334</v>
      </c>
      <c r="D319" s="53">
        <v>0</v>
      </c>
      <c r="E319" s="53">
        <v>62485.08</v>
      </c>
      <c r="F319" s="53">
        <v>1036759.7100000001</v>
      </c>
      <c r="G319" s="578">
        <f t="shared" si="43"/>
        <v>1099244.79</v>
      </c>
      <c r="H319" s="41"/>
      <c r="I319" s="41"/>
      <c r="J319" s="41"/>
      <c r="K319" s="41">
        <f t="shared" si="45"/>
        <v>0</v>
      </c>
      <c r="L319" s="41">
        <f t="shared" si="46"/>
        <v>62485.08</v>
      </c>
      <c r="M319" s="41">
        <f t="shared" si="47"/>
        <v>1036759.7100000001</v>
      </c>
      <c r="N319" s="363">
        <f t="shared" si="44"/>
        <v>0</v>
      </c>
      <c r="O319" s="43" t="s">
        <v>3309</v>
      </c>
      <c r="P319" s="43"/>
      <c r="R319" s="41">
        <f t="shared" si="40"/>
        <v>0</v>
      </c>
      <c r="S319" s="41">
        <f t="shared" si="41"/>
        <v>0</v>
      </c>
      <c r="T319" s="41">
        <f t="shared" si="42"/>
        <v>0</v>
      </c>
      <c r="U319" s="41"/>
      <c r="V319" s="44" t="str">
        <f>IF($P319="High",$S319,IF($P319="Mix",SUMIF('High_Low Voltage Mix Summary'!$B$10:$B$17,$B228,'High_Low Voltage Mix Summary'!$D$10:$D$17),""))</f>
        <v/>
      </c>
      <c r="W319" s="44" t="str">
        <f>IF($P319="Low",$S319,IF($P319="Mix",SUMIF('High_Low Voltage Mix Summary'!$B$10:$B$17,$B228,'High_Low Voltage Mix Summary'!$E$10:$E$17),""))</f>
        <v/>
      </c>
      <c r="X319" s="44" t="str">
        <f>IF($P319="High",$T319,IF($P319="Mix",SUMIF('High_Low Voltage Mix Summary'!$B$10:$B$17,$B228,'High_Low Voltage Mix Summary'!$F$10:$F$17),""))</f>
        <v/>
      </c>
      <c r="Y319" s="44" t="str">
        <f>IF($P319="Low",$T319,IF($P319="Mix",SUMIF('High_Low Voltage Mix Summary'!$B$10:$B$17,$B228,'High_Low Voltage Mix Summary'!$G$10:$G$17),""))</f>
        <v/>
      </c>
      <c r="Z319" s="44" t="str">
        <f>IF(OR($P319="High",$P319="Low"),"",IF($P319="Mix",SUMIF('High_Low Voltage Mix Summary'!$B$10:$B$17,$B228,'High_Low Voltage Mix Summary'!$H$10:$H$17),""))</f>
        <v/>
      </c>
      <c r="AB319" s="49">
        <f>SUMIF('Antelope Bailey Split BA'!$B$7:$B$29,B319,'Antelope Bailey Split BA'!$C$7:$C$29)</f>
        <v>0</v>
      </c>
      <c r="AC319" s="49" t="str">
        <f>IF(AND(AB319=1,'Plant Total by Account'!$H$1=2),"EKWRA","")</f>
        <v/>
      </c>
    </row>
    <row r="320" spans="1:29" x14ac:dyDescent="0.2">
      <c r="A320" s="39" t="s">
        <v>2425</v>
      </c>
      <c r="B320" s="45" t="s">
        <v>1172</v>
      </c>
      <c r="C320" s="40" t="s">
        <v>3334</v>
      </c>
      <c r="D320" s="53">
        <v>0</v>
      </c>
      <c r="E320" s="53">
        <v>499193.55999999994</v>
      </c>
      <c r="F320" s="53">
        <v>11262479.239999991</v>
      </c>
      <c r="G320" s="578">
        <f t="shared" si="43"/>
        <v>11761672.799999991</v>
      </c>
      <c r="H320" s="41"/>
      <c r="I320" s="41"/>
      <c r="J320" s="41"/>
      <c r="K320" s="41">
        <f t="shared" si="45"/>
        <v>0</v>
      </c>
      <c r="L320" s="41">
        <f t="shared" si="46"/>
        <v>499193.55999999994</v>
      </c>
      <c r="M320" s="41">
        <f t="shared" si="47"/>
        <v>11262479.239999991</v>
      </c>
      <c r="N320" s="363">
        <f t="shared" si="44"/>
        <v>0</v>
      </c>
      <c r="O320" s="43" t="s">
        <v>3309</v>
      </c>
      <c r="P320" s="43"/>
      <c r="R320" s="41">
        <f t="shared" si="40"/>
        <v>0</v>
      </c>
      <c r="S320" s="41">
        <f t="shared" si="41"/>
        <v>0</v>
      </c>
      <c r="T320" s="41">
        <f t="shared" si="42"/>
        <v>0</v>
      </c>
      <c r="U320" s="41"/>
      <c r="V320" s="44" t="str">
        <f>IF($P320="High",$S320,IF($P320="Mix",SUMIF('High_Low Voltage Mix Summary'!$B$10:$B$17,$B229,'High_Low Voltage Mix Summary'!$D$10:$D$17),""))</f>
        <v/>
      </c>
      <c r="W320" s="44" t="str">
        <f>IF($P320="Low",$S320,IF($P320="Mix",SUMIF('High_Low Voltage Mix Summary'!$B$10:$B$17,$B229,'High_Low Voltage Mix Summary'!$E$10:$E$17),""))</f>
        <v/>
      </c>
      <c r="X320" s="44" t="str">
        <f>IF($P320="High",$T320,IF($P320="Mix",SUMIF('High_Low Voltage Mix Summary'!$B$10:$B$17,$B229,'High_Low Voltage Mix Summary'!$F$10:$F$17),""))</f>
        <v/>
      </c>
      <c r="Y320" s="44" t="str">
        <f>IF($P320="Low",$T320,IF($P320="Mix",SUMIF('High_Low Voltage Mix Summary'!$B$10:$B$17,$B229,'High_Low Voltage Mix Summary'!$G$10:$G$17),""))</f>
        <v/>
      </c>
      <c r="Z320" s="44" t="str">
        <f>IF(OR($P320="High",$P320="Low"),"",IF($P320="Mix",SUMIF('High_Low Voltage Mix Summary'!$B$10:$B$17,$B229,'High_Low Voltage Mix Summary'!$H$10:$H$17),""))</f>
        <v/>
      </c>
      <c r="AB320" s="49">
        <f>SUMIF('Antelope Bailey Split BA'!$B$7:$B$29,B320,'Antelope Bailey Split BA'!$C$7:$C$29)</f>
        <v>0</v>
      </c>
      <c r="AC320" s="49" t="str">
        <f>IF(AND(AB320=1,'Plant Total by Account'!$H$1=2),"EKWRA","")</f>
        <v/>
      </c>
    </row>
    <row r="321" spans="1:29" x14ac:dyDescent="0.2">
      <c r="A321" s="39" t="s">
        <v>2858</v>
      </c>
      <c r="B321" s="132" t="s">
        <v>416</v>
      </c>
      <c r="C321" s="40" t="s">
        <v>3334</v>
      </c>
      <c r="D321" s="53">
        <v>0</v>
      </c>
      <c r="E321" s="53">
        <v>0</v>
      </c>
      <c r="F321" s="53">
        <v>6671.15</v>
      </c>
      <c r="G321" s="578">
        <f t="shared" si="43"/>
        <v>6671.15</v>
      </c>
      <c r="H321" s="41"/>
      <c r="I321" s="41"/>
      <c r="J321" s="41"/>
      <c r="K321" s="41">
        <f t="shared" si="45"/>
        <v>0</v>
      </c>
      <c r="L321" s="41">
        <f t="shared" si="46"/>
        <v>0</v>
      </c>
      <c r="M321" s="41">
        <f t="shared" si="47"/>
        <v>6671.15</v>
      </c>
      <c r="N321" s="363">
        <f t="shared" si="44"/>
        <v>0</v>
      </c>
      <c r="O321" s="43" t="s">
        <v>3309</v>
      </c>
      <c r="P321" s="43"/>
      <c r="R321" s="41">
        <f t="shared" si="40"/>
        <v>0</v>
      </c>
      <c r="S321" s="41">
        <f t="shared" si="41"/>
        <v>0</v>
      </c>
      <c r="T321" s="41">
        <f t="shared" si="42"/>
        <v>0</v>
      </c>
      <c r="U321" s="41"/>
      <c r="V321" s="44" t="str">
        <f>IF($P321="High",$S321,IF($P321="Mix",SUMIF('High_Low Voltage Mix Summary'!$B$10:$B$17,$B816,'High_Low Voltage Mix Summary'!$D$10:$D$17),""))</f>
        <v/>
      </c>
      <c r="W321" s="44" t="str">
        <f>IF($P321="Low",$S321,IF($P321="Mix",SUMIF('High_Low Voltage Mix Summary'!$B$10:$B$17,$B816,'High_Low Voltage Mix Summary'!$E$10:$E$17),""))</f>
        <v/>
      </c>
      <c r="X321" s="44" t="str">
        <f>IF($P321="High",$T321,IF($P321="Mix",SUMIF('High_Low Voltage Mix Summary'!$B$10:$B$17,$B816,'High_Low Voltage Mix Summary'!$F$10:$F$17),""))</f>
        <v/>
      </c>
      <c r="Y321" s="44" t="str">
        <f>IF($P321="Low",$T321,IF($P321="Mix",SUMIF('High_Low Voltage Mix Summary'!$B$10:$B$17,$B816,'High_Low Voltage Mix Summary'!$G$10:$G$17),""))</f>
        <v/>
      </c>
      <c r="Z321" s="44" t="str">
        <f>IF(OR($P321="High",$P321="Low"),"",IF($P321="Mix",SUMIF('High_Low Voltage Mix Summary'!$B$10:$B$17,$B816,'High_Low Voltage Mix Summary'!$H$10:$H$17),""))</f>
        <v/>
      </c>
      <c r="AB321" s="49">
        <f>SUMIF('Antelope Bailey Split BA'!$B$7:$B$29,B321,'Antelope Bailey Split BA'!$C$7:$C$29)</f>
        <v>0</v>
      </c>
      <c r="AC321" s="49" t="str">
        <f>IF(AND(AB321=1,'Plant Total by Account'!$H$1=2),"EKWRA","")</f>
        <v/>
      </c>
    </row>
    <row r="322" spans="1:29" x14ac:dyDescent="0.2">
      <c r="A322" s="39" t="s">
        <v>2859</v>
      </c>
      <c r="B322" s="45" t="s">
        <v>417</v>
      </c>
      <c r="C322" s="40" t="s">
        <v>3334</v>
      </c>
      <c r="D322" s="53">
        <v>0</v>
      </c>
      <c r="E322" s="53">
        <v>35896.400000000001</v>
      </c>
      <c r="F322" s="53">
        <v>577017.86999999988</v>
      </c>
      <c r="G322" s="578">
        <f t="shared" si="43"/>
        <v>612914.2699999999</v>
      </c>
      <c r="H322" s="41"/>
      <c r="I322" s="41"/>
      <c r="J322" s="41"/>
      <c r="K322" s="41">
        <f t="shared" si="45"/>
        <v>0</v>
      </c>
      <c r="L322" s="41">
        <f t="shared" si="46"/>
        <v>35896.400000000001</v>
      </c>
      <c r="M322" s="41">
        <f t="shared" si="47"/>
        <v>577017.86999999988</v>
      </c>
      <c r="N322" s="363">
        <f t="shared" si="44"/>
        <v>0</v>
      </c>
      <c r="O322" s="43" t="s">
        <v>3309</v>
      </c>
      <c r="P322" s="43"/>
      <c r="R322" s="41">
        <f t="shared" si="40"/>
        <v>0</v>
      </c>
      <c r="S322" s="41">
        <f t="shared" si="41"/>
        <v>0</v>
      </c>
      <c r="T322" s="41">
        <f t="shared" si="42"/>
        <v>0</v>
      </c>
      <c r="U322" s="41"/>
      <c r="V322" s="44" t="str">
        <f>IF($P322="High",$S322,IF($P322="Mix",SUMIF('High_Low Voltage Mix Summary'!$B$10:$B$17,$B563,'High_Low Voltage Mix Summary'!$D$10:$D$17),""))</f>
        <v/>
      </c>
      <c r="W322" s="44" t="str">
        <f>IF($P322="Low",$S322,IF($P322="Mix",SUMIF('High_Low Voltage Mix Summary'!$B$10:$B$17,$B563,'High_Low Voltage Mix Summary'!$E$10:$E$17),""))</f>
        <v/>
      </c>
      <c r="X322" s="44" t="str">
        <f>IF($P322="High",$T322,IF($P322="Mix",SUMIF('High_Low Voltage Mix Summary'!$B$10:$B$17,$B563,'High_Low Voltage Mix Summary'!$F$10:$F$17),""))</f>
        <v/>
      </c>
      <c r="Y322" s="44" t="str">
        <f>IF($P322="Low",$T322,IF($P322="Mix",SUMIF('High_Low Voltage Mix Summary'!$B$10:$B$17,$B563,'High_Low Voltage Mix Summary'!$G$10:$G$17),""))</f>
        <v/>
      </c>
      <c r="Z322" s="44" t="str">
        <f>IF(OR($P322="High",$P322="Low"),"",IF($P322="Mix",SUMIF('High_Low Voltage Mix Summary'!$B$10:$B$17,$B563,'High_Low Voltage Mix Summary'!$H$10:$H$17),""))</f>
        <v/>
      </c>
      <c r="AB322" s="49">
        <f>SUMIF('Antelope Bailey Split BA'!$B$7:$B$29,B322,'Antelope Bailey Split BA'!$C$7:$C$29)</f>
        <v>0</v>
      </c>
      <c r="AC322" s="49" t="str">
        <f>IF(AND(AB322=1,'Plant Total by Account'!$H$1=2),"EKWRA","")</f>
        <v/>
      </c>
    </row>
    <row r="323" spans="1:29" x14ac:dyDescent="0.2">
      <c r="A323" s="39" t="s">
        <v>2860</v>
      </c>
      <c r="B323" s="45" t="s">
        <v>418</v>
      </c>
      <c r="C323" s="40" t="s">
        <v>3334</v>
      </c>
      <c r="D323" s="53">
        <v>0</v>
      </c>
      <c r="E323" s="53">
        <v>3673.62</v>
      </c>
      <c r="F323" s="53">
        <v>214229.25999999995</v>
      </c>
      <c r="G323" s="578">
        <f t="shared" si="43"/>
        <v>217902.87999999995</v>
      </c>
      <c r="H323" s="41"/>
      <c r="I323" s="41"/>
      <c r="J323" s="41"/>
      <c r="K323" s="41">
        <f t="shared" si="45"/>
        <v>0</v>
      </c>
      <c r="L323" s="41">
        <f t="shared" si="46"/>
        <v>3673.62</v>
      </c>
      <c r="M323" s="41">
        <f t="shared" si="47"/>
        <v>214229.25999999995</v>
      </c>
      <c r="N323" s="363">
        <f t="shared" si="44"/>
        <v>0</v>
      </c>
      <c r="O323" s="43" t="s">
        <v>3309</v>
      </c>
      <c r="P323" s="43"/>
      <c r="R323" s="41">
        <f t="shared" si="40"/>
        <v>0</v>
      </c>
      <c r="S323" s="41">
        <f t="shared" si="41"/>
        <v>0</v>
      </c>
      <c r="T323" s="41">
        <f t="shared" si="42"/>
        <v>0</v>
      </c>
      <c r="U323" s="41"/>
      <c r="V323" s="44" t="str">
        <f>IF($P323="High",$S323,IF($P323="Mix",SUMIF('High_Low Voltage Mix Summary'!$B$10:$B$17,$B230,'High_Low Voltage Mix Summary'!$D$10:$D$17),""))</f>
        <v/>
      </c>
      <c r="W323" s="44" t="str">
        <f>IF($P323="Low",$S323,IF($P323="Mix",SUMIF('High_Low Voltage Mix Summary'!$B$10:$B$17,$B230,'High_Low Voltage Mix Summary'!$E$10:$E$17),""))</f>
        <v/>
      </c>
      <c r="X323" s="44" t="str">
        <f>IF($P323="High",$T323,IF($P323="Mix",SUMIF('High_Low Voltage Mix Summary'!$B$10:$B$17,$B230,'High_Low Voltage Mix Summary'!$F$10:$F$17),""))</f>
        <v/>
      </c>
      <c r="Y323" s="44" t="str">
        <f>IF($P323="Low",$T323,IF($P323="Mix",SUMIF('High_Low Voltage Mix Summary'!$B$10:$B$17,$B230,'High_Low Voltage Mix Summary'!$G$10:$G$17),""))</f>
        <v/>
      </c>
      <c r="Z323" s="44" t="str">
        <f>IF(OR($P323="High",$P323="Low"),"",IF($P323="Mix",SUMIF('High_Low Voltage Mix Summary'!$B$10:$B$17,$B230,'High_Low Voltage Mix Summary'!$H$10:$H$17),""))</f>
        <v/>
      </c>
      <c r="AB323" s="49">
        <f>SUMIF('Antelope Bailey Split BA'!$B$7:$B$29,B323,'Antelope Bailey Split BA'!$C$7:$C$29)</f>
        <v>0</v>
      </c>
      <c r="AC323" s="49" t="str">
        <f>IF(AND(AB323=1,'Plant Total by Account'!$H$1=2),"EKWRA","")</f>
        <v/>
      </c>
    </row>
    <row r="324" spans="1:29" x14ac:dyDescent="0.2">
      <c r="A324" s="39" t="s">
        <v>2861</v>
      </c>
      <c r="B324" s="45" t="s">
        <v>419</v>
      </c>
      <c r="C324" s="40" t="s">
        <v>3334</v>
      </c>
      <c r="D324" s="53">
        <v>0</v>
      </c>
      <c r="E324" s="53">
        <v>0</v>
      </c>
      <c r="F324" s="53">
        <v>6798.8</v>
      </c>
      <c r="G324" s="578">
        <f t="shared" si="43"/>
        <v>6798.8</v>
      </c>
      <c r="H324" s="41"/>
      <c r="I324" s="41"/>
      <c r="J324" s="41"/>
      <c r="K324" s="41">
        <f t="shared" si="45"/>
        <v>0</v>
      </c>
      <c r="L324" s="41">
        <f t="shared" si="46"/>
        <v>0</v>
      </c>
      <c r="M324" s="41">
        <f t="shared" si="47"/>
        <v>6798.8</v>
      </c>
      <c r="N324" s="363">
        <f t="shared" si="44"/>
        <v>0</v>
      </c>
      <c r="O324" s="43" t="s">
        <v>3309</v>
      </c>
      <c r="P324" s="43"/>
      <c r="R324" s="41">
        <f t="shared" si="40"/>
        <v>0</v>
      </c>
      <c r="S324" s="41">
        <f t="shared" si="41"/>
        <v>0</v>
      </c>
      <c r="T324" s="41">
        <f t="shared" si="42"/>
        <v>0</v>
      </c>
      <c r="U324" s="41"/>
      <c r="V324" s="44" t="str">
        <f>IF($P324="High",$S324,IF($P324="Mix",SUMIF('High_Low Voltage Mix Summary'!$B$10:$B$17,$B231,'High_Low Voltage Mix Summary'!$D$10:$D$17),""))</f>
        <v/>
      </c>
      <c r="W324" s="44" t="str">
        <f>IF($P324="Low",$S324,IF($P324="Mix",SUMIF('High_Low Voltage Mix Summary'!$B$10:$B$17,$B231,'High_Low Voltage Mix Summary'!$E$10:$E$17),""))</f>
        <v/>
      </c>
      <c r="X324" s="44" t="str">
        <f>IF($P324="High",$T324,IF($P324="Mix",SUMIF('High_Low Voltage Mix Summary'!$B$10:$B$17,$B231,'High_Low Voltage Mix Summary'!$F$10:$F$17),""))</f>
        <v/>
      </c>
      <c r="Y324" s="44" t="str">
        <f>IF($P324="Low",$T324,IF($P324="Mix",SUMIF('High_Low Voltage Mix Summary'!$B$10:$B$17,$B231,'High_Low Voltage Mix Summary'!$G$10:$G$17),""))</f>
        <v/>
      </c>
      <c r="Z324" s="44" t="str">
        <f>IF(OR($P324="High",$P324="Low"),"",IF($P324="Mix",SUMIF('High_Low Voltage Mix Summary'!$B$10:$B$17,$B231,'High_Low Voltage Mix Summary'!$H$10:$H$17),""))</f>
        <v/>
      </c>
      <c r="AB324" s="49">
        <f>SUMIF('Antelope Bailey Split BA'!$B$7:$B$29,B324,'Antelope Bailey Split BA'!$C$7:$C$29)</f>
        <v>0</v>
      </c>
      <c r="AC324" s="49" t="str">
        <f>IF(AND(AB324=1,'Plant Total by Account'!$H$1=2),"EKWRA","")</f>
        <v/>
      </c>
    </row>
    <row r="325" spans="1:29" x14ac:dyDescent="0.2">
      <c r="A325" s="39" t="s">
        <v>2862</v>
      </c>
      <c r="B325" s="43" t="s">
        <v>420</v>
      </c>
      <c r="C325" s="40" t="s">
        <v>3334</v>
      </c>
      <c r="D325" s="53">
        <v>0</v>
      </c>
      <c r="E325" s="53">
        <v>0</v>
      </c>
      <c r="F325" s="53">
        <v>304629</v>
      </c>
      <c r="G325" s="578">
        <f t="shared" si="43"/>
        <v>304629</v>
      </c>
      <c r="H325" s="41"/>
      <c r="I325" s="41"/>
      <c r="J325" s="41"/>
      <c r="K325" s="41">
        <f t="shared" si="45"/>
        <v>0</v>
      </c>
      <c r="L325" s="41">
        <f t="shared" si="46"/>
        <v>0</v>
      </c>
      <c r="M325" s="41">
        <f t="shared" si="47"/>
        <v>304629</v>
      </c>
      <c r="N325" s="363">
        <f t="shared" si="44"/>
        <v>0</v>
      </c>
      <c r="O325" s="43" t="s">
        <v>3309</v>
      </c>
      <c r="P325" s="43"/>
      <c r="R325" s="41">
        <f t="shared" ref="R325:R388" si="48">SUM(H325:J325)</f>
        <v>0</v>
      </c>
      <c r="S325" s="41">
        <f t="shared" ref="S325:S388" si="49">H325</f>
        <v>0</v>
      </c>
      <c r="T325" s="41">
        <f t="shared" ref="T325:T388" si="50">SUM(I325:J325)</f>
        <v>0</v>
      </c>
      <c r="U325" s="41"/>
      <c r="V325" s="44" t="str">
        <f>IF($P325="High",$S325,IF($P325="Mix",SUMIF('High_Low Voltage Mix Summary'!$B$10:$B$17,$B564,'High_Low Voltage Mix Summary'!$D$10:$D$17),""))</f>
        <v/>
      </c>
      <c r="W325" s="44" t="str">
        <f>IF($P325="Low",$S325,IF($P325="Mix",SUMIF('High_Low Voltage Mix Summary'!$B$10:$B$17,$B564,'High_Low Voltage Mix Summary'!$E$10:$E$17),""))</f>
        <v/>
      </c>
      <c r="X325" s="44" t="str">
        <f>IF($P325="High",$T325,IF($P325="Mix",SUMIF('High_Low Voltage Mix Summary'!$B$10:$B$17,$B564,'High_Low Voltage Mix Summary'!$F$10:$F$17),""))</f>
        <v/>
      </c>
      <c r="Y325" s="44" t="str">
        <f>IF($P325="Low",$T325,IF($P325="Mix",SUMIF('High_Low Voltage Mix Summary'!$B$10:$B$17,$B564,'High_Low Voltage Mix Summary'!$G$10:$G$17),""))</f>
        <v/>
      </c>
      <c r="Z325" s="44" t="str">
        <f>IF(OR($P325="High",$P325="Low"),"",IF($P325="Mix",SUMIF('High_Low Voltage Mix Summary'!$B$10:$B$17,$B564,'High_Low Voltage Mix Summary'!$H$10:$H$17),""))</f>
        <v/>
      </c>
      <c r="AB325" s="49">
        <f>SUMIF('Antelope Bailey Split BA'!$B$7:$B$29,B325,'Antelope Bailey Split BA'!$C$7:$C$29)</f>
        <v>0</v>
      </c>
      <c r="AC325" s="49" t="str">
        <f>IF(AND(AB325=1,'Plant Total by Account'!$H$1=2),"EKWRA","")</f>
        <v/>
      </c>
    </row>
    <row r="326" spans="1:29" x14ac:dyDescent="0.2">
      <c r="A326" s="39" t="s">
        <v>2863</v>
      </c>
      <c r="B326" s="45" t="s">
        <v>421</v>
      </c>
      <c r="C326" s="40" t="s">
        <v>3334</v>
      </c>
      <c r="D326" s="53">
        <v>0</v>
      </c>
      <c r="E326" s="53">
        <v>0</v>
      </c>
      <c r="F326" s="53">
        <v>297941.99000000005</v>
      </c>
      <c r="G326" s="578">
        <f t="shared" si="43"/>
        <v>297941.99000000005</v>
      </c>
      <c r="H326" s="41"/>
      <c r="I326" s="41"/>
      <c r="J326" s="41"/>
      <c r="K326" s="41">
        <f t="shared" si="45"/>
        <v>0</v>
      </c>
      <c r="L326" s="41">
        <f t="shared" si="46"/>
        <v>0</v>
      </c>
      <c r="M326" s="41">
        <f t="shared" si="47"/>
        <v>297941.99000000005</v>
      </c>
      <c r="N326" s="363">
        <f t="shared" si="44"/>
        <v>0</v>
      </c>
      <c r="O326" s="43" t="s">
        <v>3309</v>
      </c>
      <c r="P326" s="43"/>
      <c r="R326" s="41">
        <f t="shared" si="48"/>
        <v>0</v>
      </c>
      <c r="S326" s="41">
        <f t="shared" si="49"/>
        <v>0</v>
      </c>
      <c r="T326" s="41">
        <f t="shared" si="50"/>
        <v>0</v>
      </c>
      <c r="U326" s="41"/>
      <c r="V326" s="44" t="str">
        <f>IF($P326="High",$S326,IF($P326="Mix",SUMIF('High_Low Voltage Mix Summary'!$B$10:$B$17,$B232,'High_Low Voltage Mix Summary'!$D$10:$D$17),""))</f>
        <v/>
      </c>
      <c r="W326" s="44" t="str">
        <f>IF($P326="Low",$S326,IF($P326="Mix",SUMIF('High_Low Voltage Mix Summary'!$B$10:$B$17,$B232,'High_Low Voltage Mix Summary'!$E$10:$E$17),""))</f>
        <v/>
      </c>
      <c r="X326" s="44" t="str">
        <f>IF($P326="High",$T326,IF($P326="Mix",SUMIF('High_Low Voltage Mix Summary'!$B$10:$B$17,$B232,'High_Low Voltage Mix Summary'!$F$10:$F$17),""))</f>
        <v/>
      </c>
      <c r="Y326" s="44" t="str">
        <f>IF($P326="Low",$T326,IF($P326="Mix",SUMIF('High_Low Voltage Mix Summary'!$B$10:$B$17,$B232,'High_Low Voltage Mix Summary'!$G$10:$G$17),""))</f>
        <v/>
      </c>
      <c r="Z326" s="44" t="str">
        <f>IF(OR($P326="High",$P326="Low"),"",IF($P326="Mix",SUMIF('High_Low Voltage Mix Summary'!$B$10:$B$17,$B232,'High_Low Voltage Mix Summary'!$H$10:$H$17),""))</f>
        <v/>
      </c>
      <c r="AB326" s="49">
        <f>SUMIF('Antelope Bailey Split BA'!$B$7:$B$29,B326,'Antelope Bailey Split BA'!$C$7:$C$29)</f>
        <v>0</v>
      </c>
      <c r="AC326" s="49" t="str">
        <f>IF(AND(AB326=1,'Plant Total by Account'!$H$1=2),"EKWRA","")</f>
        <v/>
      </c>
    </row>
    <row r="327" spans="1:29" x14ac:dyDescent="0.2">
      <c r="A327" s="39" t="s">
        <v>2864</v>
      </c>
      <c r="B327" s="45" t="s">
        <v>422</v>
      </c>
      <c r="C327" s="40" t="s">
        <v>3334</v>
      </c>
      <c r="D327" s="53">
        <v>0</v>
      </c>
      <c r="E327" s="53">
        <v>0</v>
      </c>
      <c r="F327" s="53">
        <v>40622.770000000004</v>
      </c>
      <c r="G327" s="578">
        <f t="shared" si="43"/>
        <v>40622.770000000004</v>
      </c>
      <c r="H327" s="41"/>
      <c r="I327" s="41"/>
      <c r="J327" s="41"/>
      <c r="K327" s="41">
        <f t="shared" si="45"/>
        <v>0</v>
      </c>
      <c r="L327" s="41">
        <f t="shared" si="46"/>
        <v>0</v>
      </c>
      <c r="M327" s="41">
        <f t="shared" si="47"/>
        <v>40622.770000000004</v>
      </c>
      <c r="N327" s="363">
        <f t="shared" si="44"/>
        <v>0</v>
      </c>
      <c r="O327" s="43" t="s">
        <v>3309</v>
      </c>
      <c r="P327" s="43"/>
      <c r="R327" s="41">
        <f t="shared" si="48"/>
        <v>0</v>
      </c>
      <c r="S327" s="41">
        <f t="shared" si="49"/>
        <v>0</v>
      </c>
      <c r="T327" s="41">
        <f t="shared" si="50"/>
        <v>0</v>
      </c>
      <c r="U327" s="41"/>
      <c r="V327" s="44" t="str">
        <f>IF($P327="High",$S327,IF($P327="Mix",SUMIF('High_Low Voltage Mix Summary'!$B$10:$B$17,$B233,'High_Low Voltage Mix Summary'!$D$10:$D$17),""))</f>
        <v/>
      </c>
      <c r="W327" s="44" t="str">
        <f>IF($P327="Low",$S327,IF($P327="Mix",SUMIF('High_Low Voltage Mix Summary'!$B$10:$B$17,$B233,'High_Low Voltage Mix Summary'!$E$10:$E$17),""))</f>
        <v/>
      </c>
      <c r="X327" s="44" t="str">
        <f>IF($P327="High",$T327,IF($P327="Mix",SUMIF('High_Low Voltage Mix Summary'!$B$10:$B$17,$B233,'High_Low Voltage Mix Summary'!$F$10:$F$17),""))</f>
        <v/>
      </c>
      <c r="Y327" s="44" t="str">
        <f>IF($P327="Low",$T327,IF($P327="Mix",SUMIF('High_Low Voltage Mix Summary'!$B$10:$B$17,$B233,'High_Low Voltage Mix Summary'!$G$10:$G$17),""))</f>
        <v/>
      </c>
      <c r="Z327" s="44" t="str">
        <f>IF(OR($P327="High",$P327="Low"),"",IF($P327="Mix",SUMIF('High_Low Voltage Mix Summary'!$B$10:$B$17,$B233,'High_Low Voltage Mix Summary'!$H$10:$H$17),""))</f>
        <v/>
      </c>
      <c r="AB327" s="49">
        <f>SUMIF('Antelope Bailey Split BA'!$B$7:$B$29,B327,'Antelope Bailey Split BA'!$C$7:$C$29)</f>
        <v>0</v>
      </c>
      <c r="AC327" s="49" t="str">
        <f>IF(AND(AB327=1,'Plant Total by Account'!$H$1=2),"EKWRA","")</f>
        <v/>
      </c>
    </row>
    <row r="328" spans="1:29" x14ac:dyDescent="0.2">
      <c r="A328" s="39" t="s">
        <v>2865</v>
      </c>
      <c r="B328" s="45" t="s">
        <v>423</v>
      </c>
      <c r="C328" s="40" t="s">
        <v>3334</v>
      </c>
      <c r="D328" s="53">
        <v>50341.71</v>
      </c>
      <c r="E328" s="53">
        <v>0</v>
      </c>
      <c r="F328" s="53">
        <v>480651.14000000025</v>
      </c>
      <c r="G328" s="578">
        <f t="shared" si="43"/>
        <v>530992.85000000021</v>
      </c>
      <c r="H328" s="41"/>
      <c r="I328" s="41"/>
      <c r="J328" s="41"/>
      <c r="K328" s="41">
        <f t="shared" si="45"/>
        <v>50341.71</v>
      </c>
      <c r="L328" s="41">
        <f t="shared" si="46"/>
        <v>0</v>
      </c>
      <c r="M328" s="41">
        <f t="shared" si="47"/>
        <v>480651.14000000025</v>
      </c>
      <c r="N328" s="363">
        <f t="shared" si="44"/>
        <v>0</v>
      </c>
      <c r="O328" s="43" t="s">
        <v>3309</v>
      </c>
      <c r="P328" s="43"/>
      <c r="R328" s="41">
        <f t="shared" si="48"/>
        <v>0</v>
      </c>
      <c r="S328" s="41">
        <f t="shared" si="49"/>
        <v>0</v>
      </c>
      <c r="T328" s="41">
        <f t="shared" si="50"/>
        <v>0</v>
      </c>
      <c r="U328" s="41"/>
      <c r="V328" s="44" t="str">
        <f>IF($P328="High",$S328,IF($P328="Mix",SUMIF('High_Low Voltage Mix Summary'!$B$10:$B$17,$B234,'High_Low Voltage Mix Summary'!$D$10:$D$17),""))</f>
        <v/>
      </c>
      <c r="W328" s="44" t="str">
        <f>IF($P328="Low",$S328,IF($P328="Mix",SUMIF('High_Low Voltage Mix Summary'!$B$10:$B$17,$B234,'High_Low Voltage Mix Summary'!$E$10:$E$17),""))</f>
        <v/>
      </c>
      <c r="X328" s="44" t="str">
        <f>IF($P328="High",$T328,IF($P328="Mix",SUMIF('High_Low Voltage Mix Summary'!$B$10:$B$17,$B234,'High_Low Voltage Mix Summary'!$F$10:$F$17),""))</f>
        <v/>
      </c>
      <c r="Y328" s="44" t="str">
        <f>IF($P328="Low",$T328,IF($P328="Mix",SUMIF('High_Low Voltage Mix Summary'!$B$10:$B$17,$B234,'High_Low Voltage Mix Summary'!$G$10:$G$17),""))</f>
        <v/>
      </c>
      <c r="Z328" s="44" t="str">
        <f>IF(OR($P328="High",$P328="Low"),"",IF($P328="Mix",SUMIF('High_Low Voltage Mix Summary'!$B$10:$B$17,$B234,'High_Low Voltage Mix Summary'!$H$10:$H$17),""))</f>
        <v/>
      </c>
      <c r="AB328" s="49">
        <f>SUMIF('Antelope Bailey Split BA'!$B$7:$B$29,B328,'Antelope Bailey Split BA'!$C$7:$C$29)</f>
        <v>0</v>
      </c>
      <c r="AC328" s="49" t="str">
        <f>IF(AND(AB328=1,'Plant Total by Account'!$H$1=2),"EKWRA","")</f>
        <v/>
      </c>
    </row>
    <row r="329" spans="1:29" x14ac:dyDescent="0.2">
      <c r="A329" s="39" t="s">
        <v>2866</v>
      </c>
      <c r="B329" s="45" t="s">
        <v>424</v>
      </c>
      <c r="C329" s="40" t="s">
        <v>3334</v>
      </c>
      <c r="D329" s="53">
        <v>0</v>
      </c>
      <c r="E329" s="53">
        <v>0</v>
      </c>
      <c r="F329" s="53">
        <v>87286.99</v>
      </c>
      <c r="G329" s="578">
        <f t="shared" si="43"/>
        <v>87286.99</v>
      </c>
      <c r="H329" s="41"/>
      <c r="I329" s="41"/>
      <c r="J329" s="41"/>
      <c r="K329" s="41">
        <f t="shared" si="45"/>
        <v>0</v>
      </c>
      <c r="L329" s="41">
        <f t="shared" si="46"/>
        <v>0</v>
      </c>
      <c r="M329" s="41">
        <f t="shared" si="47"/>
        <v>87286.99</v>
      </c>
      <c r="N329" s="363">
        <f t="shared" si="44"/>
        <v>0</v>
      </c>
      <c r="O329" s="43" t="s">
        <v>3309</v>
      </c>
      <c r="P329" s="43"/>
      <c r="R329" s="41">
        <f t="shared" si="48"/>
        <v>0</v>
      </c>
      <c r="S329" s="41">
        <f t="shared" si="49"/>
        <v>0</v>
      </c>
      <c r="T329" s="41">
        <f t="shared" si="50"/>
        <v>0</v>
      </c>
      <c r="U329" s="41"/>
      <c r="V329" s="44" t="str">
        <f>IF($P329="High",$S329,IF($P329="Mix",SUMIF('High_Low Voltage Mix Summary'!$B$10:$B$17,$B235,'High_Low Voltage Mix Summary'!$D$10:$D$17),""))</f>
        <v/>
      </c>
      <c r="W329" s="44" t="str">
        <f>IF($P329="Low",$S329,IF($P329="Mix",SUMIF('High_Low Voltage Mix Summary'!$B$10:$B$17,$B235,'High_Low Voltage Mix Summary'!$E$10:$E$17),""))</f>
        <v/>
      </c>
      <c r="X329" s="44" t="str">
        <f>IF($P329="High",$T329,IF($P329="Mix",SUMIF('High_Low Voltage Mix Summary'!$B$10:$B$17,$B235,'High_Low Voltage Mix Summary'!$F$10:$F$17),""))</f>
        <v/>
      </c>
      <c r="Y329" s="44" t="str">
        <f>IF($P329="Low",$T329,IF($P329="Mix",SUMIF('High_Low Voltage Mix Summary'!$B$10:$B$17,$B235,'High_Low Voltage Mix Summary'!$G$10:$G$17),""))</f>
        <v/>
      </c>
      <c r="Z329" s="44" t="str">
        <f>IF(OR($P329="High",$P329="Low"),"",IF($P329="Mix",SUMIF('High_Low Voltage Mix Summary'!$B$10:$B$17,$B235,'High_Low Voltage Mix Summary'!$H$10:$H$17),""))</f>
        <v/>
      </c>
      <c r="AB329" s="49">
        <f>SUMIF('Antelope Bailey Split BA'!$B$7:$B$29,B329,'Antelope Bailey Split BA'!$C$7:$C$29)</f>
        <v>0</v>
      </c>
      <c r="AC329" s="49" t="str">
        <f>IF(AND(AB329=1,'Plant Total by Account'!$H$1=2),"EKWRA","")</f>
        <v/>
      </c>
    </row>
    <row r="330" spans="1:29" x14ac:dyDescent="0.2">
      <c r="A330" s="39" t="s">
        <v>2867</v>
      </c>
      <c r="B330" s="45" t="s">
        <v>425</v>
      </c>
      <c r="C330" s="40" t="s">
        <v>3334</v>
      </c>
      <c r="D330" s="53">
        <v>0</v>
      </c>
      <c r="E330" s="53">
        <v>0</v>
      </c>
      <c r="F330" s="53">
        <v>61463.03</v>
      </c>
      <c r="G330" s="578">
        <f t="shared" si="43"/>
        <v>61463.03</v>
      </c>
      <c r="H330" s="41"/>
      <c r="I330" s="41"/>
      <c r="J330" s="41"/>
      <c r="K330" s="41">
        <f t="shared" si="45"/>
        <v>0</v>
      </c>
      <c r="L330" s="41">
        <f t="shared" si="46"/>
        <v>0</v>
      </c>
      <c r="M330" s="41">
        <f t="shared" si="47"/>
        <v>61463.03</v>
      </c>
      <c r="N330" s="363">
        <f t="shared" si="44"/>
        <v>0</v>
      </c>
      <c r="O330" s="43" t="s">
        <v>3309</v>
      </c>
      <c r="P330" s="43"/>
      <c r="R330" s="41">
        <f t="shared" si="48"/>
        <v>0</v>
      </c>
      <c r="S330" s="41">
        <f t="shared" si="49"/>
        <v>0</v>
      </c>
      <c r="T330" s="41">
        <f t="shared" si="50"/>
        <v>0</v>
      </c>
      <c r="U330" s="41"/>
      <c r="V330" s="44" t="str">
        <f>IF($P330="High",$S330,IF($P330="Mix",SUMIF('High_Low Voltage Mix Summary'!$B$10:$B$17,$B236,'High_Low Voltage Mix Summary'!$D$10:$D$17),""))</f>
        <v/>
      </c>
      <c r="W330" s="44" t="str">
        <f>IF($P330="Low",$S330,IF($P330="Mix",SUMIF('High_Low Voltage Mix Summary'!$B$10:$B$17,$B236,'High_Low Voltage Mix Summary'!$E$10:$E$17),""))</f>
        <v/>
      </c>
      <c r="X330" s="44" t="str">
        <f>IF($P330="High",$T330,IF($P330="Mix",SUMIF('High_Low Voltage Mix Summary'!$B$10:$B$17,$B236,'High_Low Voltage Mix Summary'!$F$10:$F$17),""))</f>
        <v/>
      </c>
      <c r="Y330" s="44" t="str">
        <f>IF($P330="Low",$T330,IF($P330="Mix",SUMIF('High_Low Voltage Mix Summary'!$B$10:$B$17,$B236,'High_Low Voltage Mix Summary'!$G$10:$G$17),""))</f>
        <v/>
      </c>
      <c r="Z330" s="44" t="str">
        <f>IF(OR($P330="High",$P330="Low"),"",IF($P330="Mix",SUMIF('High_Low Voltage Mix Summary'!$B$10:$B$17,$B236,'High_Low Voltage Mix Summary'!$H$10:$H$17),""))</f>
        <v/>
      </c>
      <c r="AB330" s="49">
        <f>SUMIF('Antelope Bailey Split BA'!$B$7:$B$29,B330,'Antelope Bailey Split BA'!$C$7:$C$29)</f>
        <v>0</v>
      </c>
      <c r="AC330" s="49" t="str">
        <f>IF(AND(AB330=1,'Plant Total by Account'!$H$1=2),"EKWRA","")</f>
        <v/>
      </c>
    </row>
    <row r="331" spans="1:29" x14ac:dyDescent="0.2">
      <c r="A331" s="39" t="s">
        <v>2868</v>
      </c>
      <c r="B331" s="45" t="s">
        <v>426</v>
      </c>
      <c r="C331" s="40" t="s">
        <v>3334</v>
      </c>
      <c r="D331" s="53">
        <v>0</v>
      </c>
      <c r="E331" s="53">
        <v>6121.6500000000005</v>
      </c>
      <c r="F331" s="53">
        <v>179336.02</v>
      </c>
      <c r="G331" s="578">
        <f t="shared" ref="G331:G393" si="51">SUM(D331:F331)</f>
        <v>185457.66999999998</v>
      </c>
      <c r="H331" s="41"/>
      <c r="I331" s="41"/>
      <c r="J331" s="41"/>
      <c r="K331" s="41">
        <f t="shared" si="45"/>
        <v>0</v>
      </c>
      <c r="L331" s="41">
        <f t="shared" si="46"/>
        <v>6121.6500000000005</v>
      </c>
      <c r="M331" s="41">
        <f t="shared" si="47"/>
        <v>179336.02</v>
      </c>
      <c r="N331" s="363">
        <f t="shared" ref="N331:N393" si="52">G331-SUM(H331:M331)</f>
        <v>0</v>
      </c>
      <c r="O331" s="43" t="s">
        <v>3309</v>
      </c>
      <c r="P331" s="43"/>
      <c r="R331" s="41">
        <f t="shared" si="48"/>
        <v>0</v>
      </c>
      <c r="S331" s="41">
        <f t="shared" si="49"/>
        <v>0</v>
      </c>
      <c r="T331" s="41">
        <f t="shared" si="50"/>
        <v>0</v>
      </c>
      <c r="U331" s="41"/>
      <c r="V331" s="44" t="str">
        <f>IF($P331="High",$S331,IF($P331="Mix",SUMIF('High_Low Voltage Mix Summary'!$B$10:$B$17,$B237,'High_Low Voltage Mix Summary'!$D$10:$D$17),""))</f>
        <v/>
      </c>
      <c r="W331" s="44" t="str">
        <f>IF($P331="Low",$S331,IF($P331="Mix",SUMIF('High_Low Voltage Mix Summary'!$B$10:$B$17,$B237,'High_Low Voltage Mix Summary'!$E$10:$E$17),""))</f>
        <v/>
      </c>
      <c r="X331" s="44" t="str">
        <f>IF($P331="High",$T331,IF($P331="Mix",SUMIF('High_Low Voltage Mix Summary'!$B$10:$B$17,$B237,'High_Low Voltage Mix Summary'!$F$10:$F$17),""))</f>
        <v/>
      </c>
      <c r="Y331" s="44" t="str">
        <f>IF($P331="Low",$T331,IF($P331="Mix",SUMIF('High_Low Voltage Mix Summary'!$B$10:$B$17,$B237,'High_Low Voltage Mix Summary'!$G$10:$G$17),""))</f>
        <v/>
      </c>
      <c r="Z331" s="44" t="str">
        <f>IF(OR($P331="High",$P331="Low"),"",IF($P331="Mix",SUMIF('High_Low Voltage Mix Summary'!$B$10:$B$17,$B237,'High_Low Voltage Mix Summary'!$H$10:$H$17),""))</f>
        <v/>
      </c>
      <c r="AB331" s="49">
        <f>SUMIF('Antelope Bailey Split BA'!$B$7:$B$29,B331,'Antelope Bailey Split BA'!$C$7:$C$29)</f>
        <v>0</v>
      </c>
      <c r="AC331" s="49" t="str">
        <f>IF(AND(AB331=1,'Plant Total by Account'!$H$1=2),"EKWRA","")</f>
        <v/>
      </c>
    </row>
    <row r="332" spans="1:29" x14ac:dyDescent="0.2">
      <c r="A332" s="39" t="s">
        <v>2869</v>
      </c>
      <c r="B332" s="45" t="s">
        <v>427</v>
      </c>
      <c r="C332" s="40" t="s">
        <v>3334</v>
      </c>
      <c r="D332" s="53">
        <v>0</v>
      </c>
      <c r="E332" s="53">
        <v>0</v>
      </c>
      <c r="F332" s="53">
        <v>109689.35999999999</v>
      </c>
      <c r="G332" s="578">
        <f t="shared" si="51"/>
        <v>109689.35999999999</v>
      </c>
      <c r="H332" s="41"/>
      <c r="I332" s="41"/>
      <c r="J332" s="41"/>
      <c r="K332" s="41">
        <f t="shared" si="45"/>
        <v>0</v>
      </c>
      <c r="L332" s="41">
        <f t="shared" si="46"/>
        <v>0</v>
      </c>
      <c r="M332" s="41">
        <f t="shared" si="47"/>
        <v>109689.35999999999</v>
      </c>
      <c r="N332" s="363">
        <f t="shared" si="52"/>
        <v>0</v>
      </c>
      <c r="O332" s="43" t="s">
        <v>3309</v>
      </c>
      <c r="P332" s="43"/>
      <c r="R332" s="41">
        <f t="shared" si="48"/>
        <v>0</v>
      </c>
      <c r="S332" s="41">
        <f t="shared" si="49"/>
        <v>0</v>
      </c>
      <c r="T332" s="41">
        <f t="shared" si="50"/>
        <v>0</v>
      </c>
      <c r="U332" s="41"/>
      <c r="V332" s="44" t="str">
        <f>IF($P332="High",$S332,IF($P332="Mix",SUMIF('High_Low Voltage Mix Summary'!$B$10:$B$17,$B238,'High_Low Voltage Mix Summary'!$D$10:$D$17),""))</f>
        <v/>
      </c>
      <c r="W332" s="44" t="str">
        <f>IF($P332="Low",$S332,IF($P332="Mix",SUMIF('High_Low Voltage Mix Summary'!$B$10:$B$17,$B238,'High_Low Voltage Mix Summary'!$E$10:$E$17),""))</f>
        <v/>
      </c>
      <c r="X332" s="44" t="str">
        <f>IF($P332="High",$T332,IF($P332="Mix",SUMIF('High_Low Voltage Mix Summary'!$B$10:$B$17,$B238,'High_Low Voltage Mix Summary'!$F$10:$F$17),""))</f>
        <v/>
      </c>
      <c r="Y332" s="44" t="str">
        <f>IF($P332="Low",$T332,IF($P332="Mix",SUMIF('High_Low Voltage Mix Summary'!$B$10:$B$17,$B238,'High_Low Voltage Mix Summary'!$G$10:$G$17),""))</f>
        <v/>
      </c>
      <c r="Z332" s="44" t="str">
        <f>IF(OR($P332="High",$P332="Low"),"",IF($P332="Mix",SUMIF('High_Low Voltage Mix Summary'!$B$10:$B$17,$B238,'High_Low Voltage Mix Summary'!$H$10:$H$17),""))</f>
        <v/>
      </c>
      <c r="AB332" s="49">
        <f>SUMIF('Antelope Bailey Split BA'!$B$7:$B$29,B332,'Antelope Bailey Split BA'!$C$7:$C$29)</f>
        <v>0</v>
      </c>
      <c r="AC332" s="49" t="str">
        <f>IF(AND(AB332=1,'Plant Total by Account'!$H$1=2),"EKWRA","")</f>
        <v/>
      </c>
    </row>
    <row r="333" spans="1:29" x14ac:dyDescent="0.2">
      <c r="A333" s="39" t="s">
        <v>2870</v>
      </c>
      <c r="B333" s="45" t="s">
        <v>428</v>
      </c>
      <c r="C333" s="40" t="s">
        <v>3334</v>
      </c>
      <c r="D333" s="53">
        <v>72874.680000000008</v>
      </c>
      <c r="E333" s="53">
        <v>113162.13</v>
      </c>
      <c r="F333" s="53">
        <v>270481.93000000005</v>
      </c>
      <c r="G333" s="578">
        <f t="shared" si="51"/>
        <v>456518.74000000005</v>
      </c>
      <c r="H333" s="41"/>
      <c r="I333" s="41"/>
      <c r="J333" s="41"/>
      <c r="K333" s="41">
        <f t="shared" si="45"/>
        <v>72874.680000000008</v>
      </c>
      <c r="L333" s="41">
        <f t="shared" si="46"/>
        <v>113162.13</v>
      </c>
      <c r="M333" s="41">
        <f t="shared" si="47"/>
        <v>270481.93000000005</v>
      </c>
      <c r="N333" s="363">
        <f t="shared" si="52"/>
        <v>0</v>
      </c>
      <c r="O333" s="43" t="s">
        <v>3309</v>
      </c>
      <c r="P333" s="43"/>
      <c r="R333" s="41">
        <f t="shared" si="48"/>
        <v>0</v>
      </c>
      <c r="S333" s="41">
        <f t="shared" si="49"/>
        <v>0</v>
      </c>
      <c r="T333" s="41">
        <f t="shared" si="50"/>
        <v>0</v>
      </c>
      <c r="U333" s="41"/>
      <c r="V333" s="44" t="str">
        <f>IF($P333="High",$S333,IF($P333="Mix",SUMIF('High_Low Voltage Mix Summary'!$B$10:$B$17,$B239,'High_Low Voltage Mix Summary'!$D$10:$D$17),""))</f>
        <v/>
      </c>
      <c r="W333" s="44" t="str">
        <f>IF($P333="Low",$S333,IF($P333="Mix",SUMIF('High_Low Voltage Mix Summary'!$B$10:$B$17,$B239,'High_Low Voltage Mix Summary'!$E$10:$E$17),""))</f>
        <v/>
      </c>
      <c r="X333" s="44" t="str">
        <f>IF($P333="High",$T333,IF($P333="Mix",SUMIF('High_Low Voltage Mix Summary'!$B$10:$B$17,$B239,'High_Low Voltage Mix Summary'!$F$10:$F$17),""))</f>
        <v/>
      </c>
      <c r="Y333" s="44" t="str">
        <f>IF($P333="Low",$T333,IF($P333="Mix",SUMIF('High_Low Voltage Mix Summary'!$B$10:$B$17,$B239,'High_Low Voltage Mix Summary'!$G$10:$G$17),""))</f>
        <v/>
      </c>
      <c r="Z333" s="44" t="str">
        <f>IF(OR($P333="High",$P333="Low"),"",IF($P333="Mix",SUMIF('High_Low Voltage Mix Summary'!$B$10:$B$17,$B239,'High_Low Voltage Mix Summary'!$H$10:$H$17),""))</f>
        <v/>
      </c>
      <c r="AB333" s="49">
        <f>SUMIF('Antelope Bailey Split BA'!$B$7:$B$29,B333,'Antelope Bailey Split BA'!$C$7:$C$29)</f>
        <v>0</v>
      </c>
      <c r="AC333" s="49" t="str">
        <f>IF(AND(AB333=1,'Plant Total by Account'!$H$1=2),"EKWRA","")</f>
        <v/>
      </c>
    </row>
    <row r="334" spans="1:29" x14ac:dyDescent="0.2">
      <c r="A334" s="39" t="s">
        <v>2871</v>
      </c>
      <c r="B334" s="45" t="s">
        <v>429</v>
      </c>
      <c r="C334" s="40" t="s">
        <v>3334</v>
      </c>
      <c r="D334" s="53">
        <v>65767.760000000009</v>
      </c>
      <c r="E334" s="53">
        <v>14917.460000000001</v>
      </c>
      <c r="F334" s="53">
        <v>555575.36</v>
      </c>
      <c r="G334" s="578">
        <f t="shared" si="51"/>
        <v>636260.57999999996</v>
      </c>
      <c r="H334" s="41"/>
      <c r="I334" s="41"/>
      <c r="J334" s="41"/>
      <c r="K334" s="41">
        <f t="shared" si="45"/>
        <v>65767.760000000009</v>
      </c>
      <c r="L334" s="41">
        <f t="shared" si="46"/>
        <v>14917.460000000001</v>
      </c>
      <c r="M334" s="41">
        <f t="shared" si="47"/>
        <v>555575.36</v>
      </c>
      <c r="N334" s="363">
        <f t="shared" si="52"/>
        <v>0</v>
      </c>
      <c r="O334" s="43" t="s">
        <v>3309</v>
      </c>
      <c r="P334" s="43"/>
      <c r="R334" s="41">
        <f t="shared" si="48"/>
        <v>0</v>
      </c>
      <c r="S334" s="41">
        <f t="shared" si="49"/>
        <v>0</v>
      </c>
      <c r="T334" s="41">
        <f t="shared" si="50"/>
        <v>0</v>
      </c>
      <c r="U334" s="41"/>
      <c r="V334" s="44" t="str">
        <f>IF($P334="High",$S334,IF($P334="Mix",SUMIF('High_Low Voltage Mix Summary'!$B$10:$B$17,$B240,'High_Low Voltage Mix Summary'!$D$10:$D$17),""))</f>
        <v/>
      </c>
      <c r="W334" s="44" t="str">
        <f>IF($P334="Low",$S334,IF($P334="Mix",SUMIF('High_Low Voltage Mix Summary'!$B$10:$B$17,$B240,'High_Low Voltage Mix Summary'!$E$10:$E$17),""))</f>
        <v/>
      </c>
      <c r="X334" s="44" t="str">
        <f>IF($P334="High",$T334,IF($P334="Mix",SUMIF('High_Low Voltage Mix Summary'!$B$10:$B$17,$B240,'High_Low Voltage Mix Summary'!$F$10:$F$17),""))</f>
        <v/>
      </c>
      <c r="Y334" s="44" t="str">
        <f>IF($P334="Low",$T334,IF($P334="Mix",SUMIF('High_Low Voltage Mix Summary'!$B$10:$B$17,$B240,'High_Low Voltage Mix Summary'!$G$10:$G$17),""))</f>
        <v/>
      </c>
      <c r="Z334" s="44" t="str">
        <f>IF(OR($P334="High",$P334="Low"),"",IF($P334="Mix",SUMIF('High_Low Voltage Mix Summary'!$B$10:$B$17,$B240,'High_Low Voltage Mix Summary'!$H$10:$H$17),""))</f>
        <v/>
      </c>
      <c r="AB334" s="49">
        <f>SUMIF('Antelope Bailey Split BA'!$B$7:$B$29,B334,'Antelope Bailey Split BA'!$C$7:$C$29)</f>
        <v>0</v>
      </c>
      <c r="AC334" s="49" t="str">
        <f>IF(AND(AB334=1,'Plant Total by Account'!$H$1=2),"EKWRA","")</f>
        <v/>
      </c>
    </row>
    <row r="335" spans="1:29" x14ac:dyDescent="0.2">
      <c r="A335" s="39" t="s">
        <v>2872</v>
      </c>
      <c r="B335" s="45" t="s">
        <v>430</v>
      </c>
      <c r="C335" s="40" t="s">
        <v>3334</v>
      </c>
      <c r="D335" s="53">
        <v>0</v>
      </c>
      <c r="E335" s="53">
        <v>167.77</v>
      </c>
      <c r="F335" s="53">
        <v>32190.710000000003</v>
      </c>
      <c r="G335" s="578">
        <f t="shared" si="51"/>
        <v>32358.480000000003</v>
      </c>
      <c r="H335" s="41"/>
      <c r="I335" s="41"/>
      <c r="J335" s="41"/>
      <c r="K335" s="41">
        <f t="shared" ref="K335:K397" si="53">D335</f>
        <v>0</v>
      </c>
      <c r="L335" s="41">
        <f t="shared" ref="L335:L397" si="54">E335</f>
        <v>167.77</v>
      </c>
      <c r="M335" s="41">
        <f t="shared" ref="M335:M397" si="55">F335</f>
        <v>32190.710000000003</v>
      </c>
      <c r="N335" s="363">
        <f t="shared" si="52"/>
        <v>0</v>
      </c>
      <c r="O335" s="43" t="s">
        <v>3309</v>
      </c>
      <c r="P335" s="43"/>
      <c r="R335" s="41">
        <f t="shared" si="48"/>
        <v>0</v>
      </c>
      <c r="S335" s="41">
        <f t="shared" si="49"/>
        <v>0</v>
      </c>
      <c r="T335" s="41">
        <f t="shared" si="50"/>
        <v>0</v>
      </c>
      <c r="U335" s="41"/>
      <c r="V335" s="44" t="str">
        <f>IF($P335="High",$S335,IF($P335="Mix",SUMIF('High_Low Voltage Mix Summary'!$B$10:$B$17,$B241,'High_Low Voltage Mix Summary'!$D$10:$D$17),""))</f>
        <v/>
      </c>
      <c r="W335" s="44" t="str">
        <f>IF($P335="Low",$S335,IF($P335="Mix",SUMIF('High_Low Voltage Mix Summary'!$B$10:$B$17,$B241,'High_Low Voltage Mix Summary'!$E$10:$E$17),""))</f>
        <v/>
      </c>
      <c r="X335" s="44" t="str">
        <f>IF($P335="High",$T335,IF($P335="Mix",SUMIF('High_Low Voltage Mix Summary'!$B$10:$B$17,$B241,'High_Low Voltage Mix Summary'!$F$10:$F$17),""))</f>
        <v/>
      </c>
      <c r="Y335" s="44" t="str">
        <f>IF($P335="Low",$T335,IF($P335="Mix",SUMIF('High_Low Voltage Mix Summary'!$B$10:$B$17,$B241,'High_Low Voltage Mix Summary'!$G$10:$G$17),""))</f>
        <v/>
      </c>
      <c r="Z335" s="44" t="str">
        <f>IF(OR($P335="High",$P335="Low"),"",IF($P335="Mix",SUMIF('High_Low Voltage Mix Summary'!$B$10:$B$17,$B241,'High_Low Voltage Mix Summary'!$H$10:$H$17),""))</f>
        <v/>
      </c>
      <c r="AB335" s="49">
        <f>SUMIF('Antelope Bailey Split BA'!$B$7:$B$29,B335,'Antelope Bailey Split BA'!$C$7:$C$29)</f>
        <v>0</v>
      </c>
      <c r="AC335" s="49" t="str">
        <f>IF(AND(AB335=1,'Plant Total by Account'!$H$1=2),"EKWRA","")</f>
        <v/>
      </c>
    </row>
    <row r="336" spans="1:29" x14ac:dyDescent="0.2">
      <c r="A336" s="39" t="s">
        <v>2873</v>
      </c>
      <c r="B336" s="45" t="s">
        <v>431</v>
      </c>
      <c r="C336" s="40" t="s">
        <v>3333</v>
      </c>
      <c r="D336" s="53">
        <v>27650.47</v>
      </c>
      <c r="E336" s="53">
        <v>235219.75</v>
      </c>
      <c r="F336" s="53">
        <v>4116340.2500000028</v>
      </c>
      <c r="G336" s="578">
        <f t="shared" si="51"/>
        <v>4379210.4700000025</v>
      </c>
      <c r="H336" s="41"/>
      <c r="I336" s="41"/>
      <c r="J336" s="41"/>
      <c r="K336" s="41">
        <f t="shared" si="53"/>
        <v>27650.47</v>
      </c>
      <c r="L336" s="41">
        <f t="shared" si="54"/>
        <v>235219.75</v>
      </c>
      <c r="M336" s="41">
        <f t="shared" si="55"/>
        <v>4116340.2500000028</v>
      </c>
      <c r="N336" s="363">
        <f t="shared" si="52"/>
        <v>0</v>
      </c>
      <c r="O336" s="43" t="s">
        <v>3309</v>
      </c>
      <c r="P336" s="43"/>
      <c r="R336" s="41">
        <f t="shared" si="48"/>
        <v>0</v>
      </c>
      <c r="S336" s="41">
        <f t="shared" si="49"/>
        <v>0</v>
      </c>
      <c r="T336" s="41">
        <f t="shared" si="50"/>
        <v>0</v>
      </c>
      <c r="U336" s="41"/>
      <c r="V336" s="44" t="str">
        <f>IF($P336="High",$S336,IF($P336="Mix",SUMIF('High_Low Voltage Mix Summary'!$B$10:$B$17,$B242,'High_Low Voltage Mix Summary'!$D$10:$D$17),""))</f>
        <v/>
      </c>
      <c r="W336" s="44" t="str">
        <f>IF($P336="Low",$S336,IF($P336="Mix",SUMIF('High_Low Voltage Mix Summary'!$B$10:$B$17,$B242,'High_Low Voltage Mix Summary'!$E$10:$E$17),""))</f>
        <v/>
      </c>
      <c r="X336" s="44" t="str">
        <f>IF($P336="High",$T336,IF($P336="Mix",SUMIF('High_Low Voltage Mix Summary'!$B$10:$B$17,$B242,'High_Low Voltage Mix Summary'!$F$10:$F$17),""))</f>
        <v/>
      </c>
      <c r="Y336" s="44" t="str">
        <f>IF($P336="Low",$T336,IF($P336="Mix",SUMIF('High_Low Voltage Mix Summary'!$B$10:$B$17,$B242,'High_Low Voltage Mix Summary'!$G$10:$G$17),""))</f>
        <v/>
      </c>
      <c r="Z336" s="44" t="str">
        <f>IF(OR($P336="High",$P336="Low"),"",IF($P336="Mix",SUMIF('High_Low Voltage Mix Summary'!$B$10:$B$17,$B242,'High_Low Voltage Mix Summary'!$H$10:$H$17),""))</f>
        <v/>
      </c>
      <c r="AB336" s="49">
        <f>SUMIF('Antelope Bailey Split BA'!$B$7:$B$29,B336,'Antelope Bailey Split BA'!$C$7:$C$29)</f>
        <v>0</v>
      </c>
      <c r="AC336" s="49" t="str">
        <f>IF(AND(AB336=1,'Plant Total by Account'!$H$1=2),"EKWRA","")</f>
        <v/>
      </c>
    </row>
    <row r="337" spans="1:29" x14ac:dyDescent="0.2">
      <c r="A337" s="39" t="s">
        <v>2874</v>
      </c>
      <c r="B337" s="45" t="s">
        <v>432</v>
      </c>
      <c r="C337" s="40" t="s">
        <v>3334</v>
      </c>
      <c r="D337" s="53">
        <v>0</v>
      </c>
      <c r="E337" s="53">
        <v>0</v>
      </c>
      <c r="F337" s="53">
        <v>421286.76</v>
      </c>
      <c r="G337" s="578">
        <f t="shared" si="51"/>
        <v>421286.76</v>
      </c>
      <c r="H337" s="41"/>
      <c r="I337" s="41"/>
      <c r="J337" s="41"/>
      <c r="K337" s="41">
        <f t="shared" si="53"/>
        <v>0</v>
      </c>
      <c r="L337" s="41">
        <f t="shared" si="54"/>
        <v>0</v>
      </c>
      <c r="M337" s="41">
        <f t="shared" si="55"/>
        <v>421286.76</v>
      </c>
      <c r="N337" s="363">
        <f t="shared" si="52"/>
        <v>0</v>
      </c>
      <c r="O337" s="43" t="s">
        <v>3309</v>
      </c>
      <c r="P337" s="43"/>
      <c r="R337" s="41">
        <f t="shared" si="48"/>
        <v>0</v>
      </c>
      <c r="S337" s="41">
        <f t="shared" si="49"/>
        <v>0</v>
      </c>
      <c r="T337" s="41">
        <f t="shared" si="50"/>
        <v>0</v>
      </c>
      <c r="U337" s="41"/>
      <c r="V337" s="44" t="str">
        <f>IF($P337="High",$S337,IF($P337="Mix",SUMIF('High_Low Voltage Mix Summary'!$B$10:$B$17,$B666,'High_Low Voltage Mix Summary'!$D$10:$D$17),""))</f>
        <v/>
      </c>
      <c r="W337" s="44" t="str">
        <f>IF($P337="Low",$S337,IF($P337="Mix",SUMIF('High_Low Voltage Mix Summary'!$B$10:$B$17,$B666,'High_Low Voltage Mix Summary'!$E$10:$E$17),""))</f>
        <v/>
      </c>
      <c r="X337" s="44" t="str">
        <f>IF($P337="High",$T337,IF($P337="Mix",SUMIF('High_Low Voltage Mix Summary'!$B$10:$B$17,$B666,'High_Low Voltage Mix Summary'!$F$10:$F$17),""))</f>
        <v/>
      </c>
      <c r="Y337" s="44" t="str">
        <f>IF($P337="Low",$T337,IF($P337="Mix",SUMIF('High_Low Voltage Mix Summary'!$B$10:$B$17,$B666,'High_Low Voltage Mix Summary'!$G$10:$G$17),""))</f>
        <v/>
      </c>
      <c r="Z337" s="44" t="str">
        <f>IF(OR($P337="High",$P337="Low"),"",IF($P337="Mix",SUMIF('High_Low Voltage Mix Summary'!$B$10:$B$17,$B666,'High_Low Voltage Mix Summary'!$H$10:$H$17),""))</f>
        <v/>
      </c>
      <c r="AB337" s="49">
        <f>SUMIF('Antelope Bailey Split BA'!$B$7:$B$29,B337,'Antelope Bailey Split BA'!$C$7:$C$29)</f>
        <v>0</v>
      </c>
      <c r="AC337" s="49" t="str">
        <f>IF(AND(AB337=1,'Plant Total by Account'!$H$1=2),"EKWRA","")</f>
        <v/>
      </c>
    </row>
    <row r="338" spans="1:29" x14ac:dyDescent="0.2">
      <c r="A338" s="39" t="s">
        <v>2875</v>
      </c>
      <c r="B338" s="45" t="s">
        <v>433</v>
      </c>
      <c r="C338" s="40" t="s">
        <v>3334</v>
      </c>
      <c r="D338" s="53">
        <v>0</v>
      </c>
      <c r="E338" s="53">
        <v>9498.41</v>
      </c>
      <c r="F338" s="53">
        <v>592343.71</v>
      </c>
      <c r="G338" s="578">
        <f t="shared" si="51"/>
        <v>601842.12</v>
      </c>
      <c r="H338" s="41"/>
      <c r="I338" s="41"/>
      <c r="J338" s="41"/>
      <c r="K338" s="41">
        <f t="shared" si="53"/>
        <v>0</v>
      </c>
      <c r="L338" s="41">
        <f t="shared" si="54"/>
        <v>9498.41</v>
      </c>
      <c r="M338" s="41">
        <f t="shared" si="55"/>
        <v>592343.71</v>
      </c>
      <c r="N338" s="363">
        <f t="shared" si="52"/>
        <v>0</v>
      </c>
      <c r="O338" s="43" t="s">
        <v>3309</v>
      </c>
      <c r="P338" s="43"/>
      <c r="R338" s="41">
        <f t="shared" si="48"/>
        <v>0</v>
      </c>
      <c r="S338" s="41">
        <f t="shared" si="49"/>
        <v>0</v>
      </c>
      <c r="T338" s="41">
        <f t="shared" si="50"/>
        <v>0</v>
      </c>
      <c r="U338" s="41"/>
      <c r="V338" s="44" t="str">
        <f>IF($P338="High",$S338,IF($P338="Mix",SUMIF('High_Low Voltage Mix Summary'!$B$10:$B$17,$B243,'High_Low Voltage Mix Summary'!$D$10:$D$17),""))</f>
        <v/>
      </c>
      <c r="W338" s="44" t="str">
        <f>IF($P338="Low",$S338,IF($P338="Mix",SUMIF('High_Low Voltage Mix Summary'!$B$10:$B$17,$B243,'High_Low Voltage Mix Summary'!$E$10:$E$17),""))</f>
        <v/>
      </c>
      <c r="X338" s="44" t="str">
        <f>IF($P338="High",$T338,IF($P338="Mix",SUMIF('High_Low Voltage Mix Summary'!$B$10:$B$17,$B243,'High_Low Voltage Mix Summary'!$F$10:$F$17),""))</f>
        <v/>
      </c>
      <c r="Y338" s="44" t="str">
        <f>IF($P338="Low",$T338,IF($P338="Mix",SUMIF('High_Low Voltage Mix Summary'!$B$10:$B$17,$B243,'High_Low Voltage Mix Summary'!$G$10:$G$17),""))</f>
        <v/>
      </c>
      <c r="Z338" s="44" t="str">
        <f>IF(OR($P338="High",$P338="Low"),"",IF($P338="Mix",SUMIF('High_Low Voltage Mix Summary'!$B$10:$B$17,$B243,'High_Low Voltage Mix Summary'!$H$10:$H$17),""))</f>
        <v/>
      </c>
      <c r="AB338" s="49">
        <f>SUMIF('Antelope Bailey Split BA'!$B$7:$B$29,B338,'Antelope Bailey Split BA'!$C$7:$C$29)</f>
        <v>0</v>
      </c>
      <c r="AC338" s="49" t="str">
        <f>IF(AND(AB338=1,'Plant Total by Account'!$H$1=2),"EKWRA","")</f>
        <v/>
      </c>
    </row>
    <row r="339" spans="1:29" x14ac:dyDescent="0.2">
      <c r="A339" s="39" t="s">
        <v>2876</v>
      </c>
      <c r="B339" s="45" t="s">
        <v>434</v>
      </c>
      <c r="C339" s="40" t="s">
        <v>3334</v>
      </c>
      <c r="D339" s="53">
        <v>0</v>
      </c>
      <c r="E339" s="53">
        <v>29687.75</v>
      </c>
      <c r="F339" s="53">
        <v>648720.51</v>
      </c>
      <c r="G339" s="578">
        <f t="shared" si="51"/>
        <v>678408.26</v>
      </c>
      <c r="H339" s="41"/>
      <c r="I339" s="41"/>
      <c r="J339" s="41"/>
      <c r="K339" s="41">
        <f t="shared" si="53"/>
        <v>0</v>
      </c>
      <c r="L339" s="41">
        <f t="shared" si="54"/>
        <v>29687.75</v>
      </c>
      <c r="M339" s="41">
        <f t="shared" si="55"/>
        <v>648720.51</v>
      </c>
      <c r="N339" s="363">
        <f t="shared" si="52"/>
        <v>0</v>
      </c>
      <c r="O339" s="43" t="s">
        <v>3309</v>
      </c>
      <c r="P339" s="43"/>
      <c r="R339" s="41">
        <f t="shared" si="48"/>
        <v>0</v>
      </c>
      <c r="S339" s="41">
        <f t="shared" si="49"/>
        <v>0</v>
      </c>
      <c r="T339" s="41">
        <f t="shared" si="50"/>
        <v>0</v>
      </c>
      <c r="U339" s="41"/>
      <c r="V339" s="44" t="str">
        <f>IF($P339="High",$S339,IF($P339="Mix",SUMIF('High_Low Voltage Mix Summary'!$B$10:$B$17,$B244,'High_Low Voltage Mix Summary'!$D$10:$D$17),""))</f>
        <v/>
      </c>
      <c r="W339" s="44" t="str">
        <f>IF($P339="Low",$S339,IF($P339="Mix",SUMIF('High_Low Voltage Mix Summary'!$B$10:$B$17,$B244,'High_Low Voltage Mix Summary'!$E$10:$E$17),""))</f>
        <v/>
      </c>
      <c r="X339" s="44" t="str">
        <f>IF($P339="High",$T339,IF($P339="Mix",SUMIF('High_Low Voltage Mix Summary'!$B$10:$B$17,$B244,'High_Low Voltage Mix Summary'!$F$10:$F$17),""))</f>
        <v/>
      </c>
      <c r="Y339" s="44" t="str">
        <f>IF($P339="Low",$T339,IF($P339="Mix",SUMIF('High_Low Voltage Mix Summary'!$B$10:$B$17,$B244,'High_Low Voltage Mix Summary'!$G$10:$G$17),""))</f>
        <v/>
      </c>
      <c r="Z339" s="44" t="str">
        <f>IF(OR($P339="High",$P339="Low"),"",IF($P339="Mix",SUMIF('High_Low Voltage Mix Summary'!$B$10:$B$17,$B244,'High_Low Voltage Mix Summary'!$H$10:$H$17),""))</f>
        <v/>
      </c>
      <c r="AB339" s="49">
        <f>SUMIF('Antelope Bailey Split BA'!$B$7:$B$29,B339,'Antelope Bailey Split BA'!$C$7:$C$29)</f>
        <v>0</v>
      </c>
      <c r="AC339" s="49" t="str">
        <f>IF(AND(AB339=1,'Plant Total by Account'!$H$1=2),"EKWRA","")</f>
        <v/>
      </c>
    </row>
    <row r="340" spans="1:29" x14ac:dyDescent="0.2">
      <c r="A340" s="39" t="s">
        <v>3291</v>
      </c>
      <c r="B340" s="45" t="s">
        <v>435</v>
      </c>
      <c r="C340" s="40" t="s">
        <v>3290</v>
      </c>
      <c r="D340" s="41">
        <v>0</v>
      </c>
      <c r="E340" s="41">
        <v>0</v>
      </c>
      <c r="F340" s="41">
        <v>16765.16</v>
      </c>
      <c r="G340" s="578">
        <f t="shared" si="51"/>
        <v>16765.16</v>
      </c>
      <c r="H340" s="173"/>
      <c r="I340" s="173"/>
      <c r="J340" s="173"/>
      <c r="K340" s="173">
        <f t="shared" si="53"/>
        <v>0</v>
      </c>
      <c r="L340" s="173">
        <f t="shared" si="54"/>
        <v>0</v>
      </c>
      <c r="M340" s="173">
        <f t="shared" si="55"/>
        <v>16765.16</v>
      </c>
      <c r="N340" s="363">
        <f t="shared" si="52"/>
        <v>0</v>
      </c>
      <c r="O340" s="43" t="s">
        <v>3309</v>
      </c>
      <c r="P340" s="43"/>
      <c r="R340" s="41">
        <f t="shared" si="48"/>
        <v>0</v>
      </c>
      <c r="S340" s="41">
        <f t="shared" si="49"/>
        <v>0</v>
      </c>
      <c r="T340" s="41">
        <f t="shared" si="50"/>
        <v>0</v>
      </c>
      <c r="U340" s="41"/>
      <c r="V340" s="44" t="str">
        <f>IF($P340="High",$S340,IF($P340="Mix",SUMIF('High_Low Voltage Mix Summary'!$B$10:$B$17,#REF!,'High_Low Voltage Mix Summary'!$D$10:$D$17),""))</f>
        <v/>
      </c>
      <c r="W340" s="44" t="str">
        <f>IF($P340="Low",$S340,IF($P340="Mix",SUMIF('High_Low Voltage Mix Summary'!$B$10:$B$17,#REF!,'High_Low Voltage Mix Summary'!$E$10:$E$17),""))</f>
        <v/>
      </c>
      <c r="X340" s="44" t="str">
        <f>IF($P340="High",$T340,IF($P340="Mix",SUMIF('High_Low Voltage Mix Summary'!$B$10:$B$17,#REF!,'High_Low Voltage Mix Summary'!$F$10:$F$17),""))</f>
        <v/>
      </c>
      <c r="Y340" s="44" t="str">
        <f>IF($P340="Low",$T340,IF($P340="Mix",SUMIF('High_Low Voltage Mix Summary'!$B$10:$B$17,#REF!,'High_Low Voltage Mix Summary'!$G$10:$G$17),""))</f>
        <v/>
      </c>
      <c r="Z340" s="44" t="str">
        <f>IF(OR($P340="High",$P340="Low"),"",IF($P340="Mix",SUMIF('High_Low Voltage Mix Summary'!$B$10:$B$17,#REF!,'High_Low Voltage Mix Summary'!$H$10:$H$17),""))</f>
        <v/>
      </c>
      <c r="AB340" s="49">
        <f>SUMIF('Antelope Bailey Split BA'!$B$7:$B$29,B340,'Antelope Bailey Split BA'!$C$7:$C$29)</f>
        <v>0</v>
      </c>
      <c r="AC340" s="49" t="str">
        <f>IF(AND(AB340=1,'Plant Total by Account'!$H$1=2),"EKWRA","")</f>
        <v/>
      </c>
    </row>
    <row r="341" spans="1:29" x14ac:dyDescent="0.2">
      <c r="A341" s="39" t="s">
        <v>2877</v>
      </c>
      <c r="B341" s="45" t="s">
        <v>436</v>
      </c>
      <c r="C341" s="40" t="s">
        <v>3334</v>
      </c>
      <c r="D341" s="53">
        <v>1068.3800000000001</v>
      </c>
      <c r="E341" s="53">
        <v>9100.76</v>
      </c>
      <c r="F341" s="53">
        <v>80365.88</v>
      </c>
      <c r="G341" s="578">
        <f t="shared" si="51"/>
        <v>90535.02</v>
      </c>
      <c r="H341" s="41"/>
      <c r="I341" s="41"/>
      <c r="J341" s="41"/>
      <c r="K341" s="41">
        <f t="shared" si="53"/>
        <v>1068.3800000000001</v>
      </c>
      <c r="L341" s="41">
        <f t="shared" si="54"/>
        <v>9100.76</v>
      </c>
      <c r="M341" s="41">
        <f t="shared" si="55"/>
        <v>80365.88</v>
      </c>
      <c r="N341" s="363">
        <f t="shared" si="52"/>
        <v>0</v>
      </c>
      <c r="O341" s="43" t="s">
        <v>3309</v>
      </c>
      <c r="P341" s="43"/>
      <c r="R341" s="41">
        <f t="shared" si="48"/>
        <v>0</v>
      </c>
      <c r="S341" s="41">
        <f t="shared" si="49"/>
        <v>0</v>
      </c>
      <c r="T341" s="41">
        <f t="shared" si="50"/>
        <v>0</v>
      </c>
      <c r="U341" s="41"/>
      <c r="V341" s="44" t="str">
        <f>IF($P341="High",$S341,IF($P341="Mix",SUMIF('High_Low Voltage Mix Summary'!$B$10:$B$17,$B246,'High_Low Voltage Mix Summary'!$D$10:$D$17),""))</f>
        <v/>
      </c>
      <c r="W341" s="44" t="str">
        <f>IF($P341="Low",$S341,IF($P341="Mix",SUMIF('High_Low Voltage Mix Summary'!$B$10:$B$17,$B246,'High_Low Voltage Mix Summary'!$E$10:$E$17),""))</f>
        <v/>
      </c>
      <c r="X341" s="44" t="str">
        <f>IF($P341="High",$T341,IF($P341="Mix",SUMIF('High_Low Voltage Mix Summary'!$B$10:$B$17,$B246,'High_Low Voltage Mix Summary'!$F$10:$F$17),""))</f>
        <v/>
      </c>
      <c r="Y341" s="44" t="str">
        <f>IF($P341="Low",$T341,IF($P341="Mix",SUMIF('High_Low Voltage Mix Summary'!$B$10:$B$17,$B246,'High_Low Voltage Mix Summary'!$G$10:$G$17),""))</f>
        <v/>
      </c>
      <c r="Z341" s="44" t="str">
        <f>IF(OR($P341="High",$P341="Low"),"",IF($P341="Mix",SUMIF('High_Low Voltage Mix Summary'!$B$10:$B$17,$B246,'High_Low Voltage Mix Summary'!$H$10:$H$17),""))</f>
        <v/>
      </c>
      <c r="AB341" s="49">
        <f>SUMIF('Antelope Bailey Split BA'!$B$7:$B$29,B341,'Antelope Bailey Split BA'!$C$7:$C$29)</f>
        <v>0</v>
      </c>
      <c r="AC341" s="49" t="str">
        <f>IF(AND(AB341=1,'Plant Total by Account'!$H$1=2),"EKWRA","")</f>
        <v/>
      </c>
    </row>
    <row r="342" spans="1:29" x14ac:dyDescent="0.2">
      <c r="A342" s="39" t="s">
        <v>2878</v>
      </c>
      <c r="B342" s="45" t="s">
        <v>437</v>
      </c>
      <c r="C342" s="40" t="s">
        <v>3334</v>
      </c>
      <c r="D342" s="53">
        <v>3006.3</v>
      </c>
      <c r="E342" s="53">
        <v>219644.17000000004</v>
      </c>
      <c r="F342" s="53">
        <v>2315857.2000000007</v>
      </c>
      <c r="G342" s="578">
        <f t="shared" si="51"/>
        <v>2538507.6700000009</v>
      </c>
      <c r="H342" s="41"/>
      <c r="I342" s="41"/>
      <c r="J342" s="41"/>
      <c r="K342" s="41">
        <f t="shared" si="53"/>
        <v>3006.3</v>
      </c>
      <c r="L342" s="41">
        <f t="shared" si="54"/>
        <v>219644.17000000004</v>
      </c>
      <c r="M342" s="41">
        <f t="shared" si="55"/>
        <v>2315857.2000000007</v>
      </c>
      <c r="N342" s="363">
        <f t="shared" si="52"/>
        <v>0</v>
      </c>
      <c r="O342" s="43" t="s">
        <v>3309</v>
      </c>
      <c r="P342" s="43"/>
      <c r="R342" s="41">
        <f t="shared" si="48"/>
        <v>0</v>
      </c>
      <c r="S342" s="41">
        <f t="shared" si="49"/>
        <v>0</v>
      </c>
      <c r="T342" s="41">
        <f t="shared" si="50"/>
        <v>0</v>
      </c>
      <c r="U342" s="41"/>
      <c r="V342" s="44" t="str">
        <f>IF($P342="High",$S342,IF($P342="Mix",SUMIF('High_Low Voltage Mix Summary'!$B$10:$B$17,$B247,'High_Low Voltage Mix Summary'!$D$10:$D$17),""))</f>
        <v/>
      </c>
      <c r="W342" s="44" t="str">
        <f>IF($P342="Low",$S342,IF($P342="Mix",SUMIF('High_Low Voltage Mix Summary'!$B$10:$B$17,$B247,'High_Low Voltage Mix Summary'!$E$10:$E$17),""))</f>
        <v/>
      </c>
      <c r="X342" s="44" t="str">
        <f>IF($P342="High",$T342,IF($P342="Mix",SUMIF('High_Low Voltage Mix Summary'!$B$10:$B$17,$B247,'High_Low Voltage Mix Summary'!$F$10:$F$17),""))</f>
        <v/>
      </c>
      <c r="Y342" s="44" t="str">
        <f>IF($P342="Low",$T342,IF($P342="Mix",SUMIF('High_Low Voltage Mix Summary'!$B$10:$B$17,$B247,'High_Low Voltage Mix Summary'!$G$10:$G$17),""))</f>
        <v/>
      </c>
      <c r="Z342" s="44" t="str">
        <f>IF(OR($P342="High",$P342="Low"),"",IF($P342="Mix",SUMIF('High_Low Voltage Mix Summary'!$B$10:$B$17,$B247,'High_Low Voltage Mix Summary'!$H$10:$H$17),""))</f>
        <v/>
      </c>
      <c r="AB342" s="49">
        <f>SUMIF('Antelope Bailey Split BA'!$B$7:$B$29,B342,'Antelope Bailey Split BA'!$C$7:$C$29)</f>
        <v>0</v>
      </c>
      <c r="AC342" s="49" t="str">
        <f>IF(AND(AB342=1,'Plant Total by Account'!$H$1=2),"EKWRA","")</f>
        <v/>
      </c>
    </row>
    <row r="343" spans="1:29" x14ac:dyDescent="0.2">
      <c r="A343" s="39" t="s">
        <v>2879</v>
      </c>
      <c r="B343" s="45" t="s">
        <v>438</v>
      </c>
      <c r="C343" s="40" t="s">
        <v>3334</v>
      </c>
      <c r="D343" s="53">
        <v>1281.24</v>
      </c>
      <c r="E343" s="53">
        <v>186862.37000000005</v>
      </c>
      <c r="F343" s="53">
        <v>4190507.4499999979</v>
      </c>
      <c r="G343" s="578">
        <f t="shared" si="51"/>
        <v>4378651.0599999977</v>
      </c>
      <c r="H343" s="41"/>
      <c r="I343" s="41"/>
      <c r="J343" s="41"/>
      <c r="K343" s="41">
        <f t="shared" si="53"/>
        <v>1281.24</v>
      </c>
      <c r="L343" s="41">
        <f t="shared" si="54"/>
        <v>186862.37000000005</v>
      </c>
      <c r="M343" s="41">
        <f t="shared" si="55"/>
        <v>4190507.4499999979</v>
      </c>
      <c r="N343" s="363">
        <f t="shared" si="52"/>
        <v>0</v>
      </c>
      <c r="O343" s="43" t="s">
        <v>3309</v>
      </c>
      <c r="P343" s="43"/>
      <c r="R343" s="41">
        <f t="shared" si="48"/>
        <v>0</v>
      </c>
      <c r="S343" s="41">
        <f t="shared" si="49"/>
        <v>0</v>
      </c>
      <c r="T343" s="41">
        <f t="shared" si="50"/>
        <v>0</v>
      </c>
      <c r="U343" s="41"/>
      <c r="V343" s="44" t="str">
        <f>IF($P343="High",$S343,IF($P343="Mix",SUMIF('High_Low Voltage Mix Summary'!$B$10:$B$17,$B248,'High_Low Voltage Mix Summary'!$D$10:$D$17),""))</f>
        <v/>
      </c>
      <c r="W343" s="44" t="str">
        <f>IF($P343="Low",$S343,IF($P343="Mix",SUMIF('High_Low Voltage Mix Summary'!$B$10:$B$17,$B248,'High_Low Voltage Mix Summary'!$E$10:$E$17),""))</f>
        <v/>
      </c>
      <c r="X343" s="44" t="str">
        <f>IF($P343="High",$T343,IF($P343="Mix",SUMIF('High_Low Voltage Mix Summary'!$B$10:$B$17,$B248,'High_Low Voltage Mix Summary'!$F$10:$F$17),""))</f>
        <v/>
      </c>
      <c r="Y343" s="44" t="str">
        <f>IF($P343="Low",$T343,IF($P343="Mix",SUMIF('High_Low Voltage Mix Summary'!$B$10:$B$17,$B248,'High_Low Voltage Mix Summary'!$G$10:$G$17),""))</f>
        <v/>
      </c>
      <c r="Z343" s="44" t="str">
        <f>IF(OR($P343="High",$P343="Low"),"",IF($P343="Mix",SUMIF('High_Low Voltage Mix Summary'!$B$10:$B$17,$B248,'High_Low Voltage Mix Summary'!$H$10:$H$17),""))</f>
        <v/>
      </c>
      <c r="AB343" s="49">
        <f>SUMIF('Antelope Bailey Split BA'!$B$7:$B$29,B343,'Antelope Bailey Split BA'!$C$7:$C$29)</f>
        <v>0</v>
      </c>
      <c r="AC343" s="49" t="str">
        <f>IF(AND(AB343=1,'Plant Total by Account'!$H$1=2),"EKWRA","")</f>
        <v/>
      </c>
    </row>
    <row r="344" spans="1:29" x14ac:dyDescent="0.2">
      <c r="A344" s="39" t="s">
        <v>2880</v>
      </c>
      <c r="B344" s="45" t="s">
        <v>439</v>
      </c>
      <c r="C344" s="40" t="s">
        <v>3334</v>
      </c>
      <c r="D344" s="53">
        <v>1944.8600000000001</v>
      </c>
      <c r="E344" s="53">
        <v>328540.42</v>
      </c>
      <c r="F344" s="53">
        <v>7006072.2299999995</v>
      </c>
      <c r="G344" s="578">
        <f t="shared" si="51"/>
        <v>7336557.5099999998</v>
      </c>
      <c r="H344" s="41"/>
      <c r="I344" s="41"/>
      <c r="J344" s="41"/>
      <c r="K344" s="41">
        <f t="shared" si="53"/>
        <v>1944.8600000000001</v>
      </c>
      <c r="L344" s="41">
        <f t="shared" si="54"/>
        <v>328540.42</v>
      </c>
      <c r="M344" s="41">
        <f t="shared" si="55"/>
        <v>7006072.2299999995</v>
      </c>
      <c r="N344" s="363">
        <f t="shared" si="52"/>
        <v>0</v>
      </c>
      <c r="O344" s="43" t="s">
        <v>3309</v>
      </c>
      <c r="P344" s="43"/>
      <c r="R344" s="41">
        <f t="shared" si="48"/>
        <v>0</v>
      </c>
      <c r="S344" s="41">
        <f t="shared" si="49"/>
        <v>0</v>
      </c>
      <c r="T344" s="41">
        <f t="shared" si="50"/>
        <v>0</v>
      </c>
      <c r="U344" s="41"/>
      <c r="V344" s="44" t="str">
        <f>IF($P344="High",$S344,IF($P344="Mix",SUMIF('High_Low Voltage Mix Summary'!$B$10:$B$17,$B249,'High_Low Voltage Mix Summary'!$D$10:$D$17),""))</f>
        <v/>
      </c>
      <c r="W344" s="44" t="str">
        <f>IF($P344="Low",$S344,IF($P344="Mix",SUMIF('High_Low Voltage Mix Summary'!$B$10:$B$17,$B249,'High_Low Voltage Mix Summary'!$E$10:$E$17),""))</f>
        <v/>
      </c>
      <c r="X344" s="44" t="str">
        <f>IF($P344="High",$T344,IF($P344="Mix",SUMIF('High_Low Voltage Mix Summary'!$B$10:$B$17,$B249,'High_Low Voltage Mix Summary'!$F$10:$F$17),""))</f>
        <v/>
      </c>
      <c r="Y344" s="44" t="str">
        <f>IF($P344="Low",$T344,IF($P344="Mix",SUMIF('High_Low Voltage Mix Summary'!$B$10:$B$17,$B249,'High_Low Voltage Mix Summary'!$G$10:$G$17),""))</f>
        <v/>
      </c>
      <c r="Z344" s="44" t="str">
        <f>IF(OR($P344="High",$P344="Low"),"",IF($P344="Mix",SUMIF('High_Low Voltage Mix Summary'!$B$10:$B$17,$B249,'High_Low Voltage Mix Summary'!$H$10:$H$17),""))</f>
        <v/>
      </c>
      <c r="AB344" s="49">
        <f>SUMIF('Antelope Bailey Split BA'!$B$7:$B$29,B344,'Antelope Bailey Split BA'!$C$7:$C$29)</f>
        <v>0</v>
      </c>
      <c r="AC344" s="49" t="str">
        <f>IF(AND(AB344=1,'Plant Total by Account'!$H$1=2),"EKWRA","")</f>
        <v/>
      </c>
    </row>
    <row r="345" spans="1:29" x14ac:dyDescent="0.2">
      <c r="A345" s="39" t="s">
        <v>2881</v>
      </c>
      <c r="B345" s="45" t="s">
        <v>440</v>
      </c>
      <c r="C345" s="40" t="s">
        <v>3334</v>
      </c>
      <c r="D345" s="53">
        <v>97257.97</v>
      </c>
      <c r="E345" s="53">
        <v>443016.04</v>
      </c>
      <c r="F345" s="53">
        <v>3464403.5200000005</v>
      </c>
      <c r="G345" s="578">
        <f t="shared" si="51"/>
        <v>4004677.5300000003</v>
      </c>
      <c r="H345" s="41"/>
      <c r="I345" s="41"/>
      <c r="J345" s="41"/>
      <c r="K345" s="41">
        <f t="shared" si="53"/>
        <v>97257.97</v>
      </c>
      <c r="L345" s="41">
        <f t="shared" si="54"/>
        <v>443016.04</v>
      </c>
      <c r="M345" s="41">
        <f t="shared" si="55"/>
        <v>3464403.5200000005</v>
      </c>
      <c r="N345" s="363">
        <f t="shared" si="52"/>
        <v>0</v>
      </c>
      <c r="O345" s="43" t="s">
        <v>3309</v>
      </c>
      <c r="P345" s="43"/>
      <c r="R345" s="41">
        <f t="shared" si="48"/>
        <v>0</v>
      </c>
      <c r="S345" s="41">
        <f t="shared" si="49"/>
        <v>0</v>
      </c>
      <c r="T345" s="41">
        <f t="shared" si="50"/>
        <v>0</v>
      </c>
      <c r="U345" s="41"/>
      <c r="V345" s="44" t="str">
        <f>IF($P345="High",$S345,IF($P345="Mix",SUMIF('High_Low Voltage Mix Summary'!$B$10:$B$17,$B250,'High_Low Voltage Mix Summary'!$D$10:$D$17),""))</f>
        <v/>
      </c>
      <c r="W345" s="44" t="str">
        <f>IF($P345="Low",$S345,IF($P345="Mix",SUMIF('High_Low Voltage Mix Summary'!$B$10:$B$17,$B250,'High_Low Voltage Mix Summary'!$E$10:$E$17),""))</f>
        <v/>
      </c>
      <c r="X345" s="44" t="str">
        <f>IF($P345="High",$T345,IF($P345="Mix",SUMIF('High_Low Voltage Mix Summary'!$B$10:$B$17,$B250,'High_Low Voltage Mix Summary'!$F$10:$F$17),""))</f>
        <v/>
      </c>
      <c r="Y345" s="44" t="str">
        <f>IF($P345="Low",$T345,IF($P345="Mix",SUMIF('High_Low Voltage Mix Summary'!$B$10:$B$17,$B250,'High_Low Voltage Mix Summary'!$G$10:$G$17),""))</f>
        <v/>
      </c>
      <c r="Z345" s="44" t="str">
        <f>IF(OR($P345="High",$P345="Low"),"",IF($P345="Mix",SUMIF('High_Low Voltage Mix Summary'!$B$10:$B$17,$B250,'High_Low Voltage Mix Summary'!$H$10:$H$17),""))</f>
        <v/>
      </c>
      <c r="AB345" s="49">
        <f>SUMIF('Antelope Bailey Split BA'!$B$7:$B$29,B345,'Antelope Bailey Split BA'!$C$7:$C$29)</f>
        <v>0</v>
      </c>
      <c r="AC345" s="49" t="str">
        <f>IF(AND(AB345=1,'Plant Total by Account'!$H$1=2),"EKWRA","")</f>
        <v/>
      </c>
    </row>
    <row r="346" spans="1:29" x14ac:dyDescent="0.2">
      <c r="A346" s="39" t="s">
        <v>2882</v>
      </c>
      <c r="B346" s="45" t="s">
        <v>441</v>
      </c>
      <c r="C346" s="40" t="s">
        <v>3334</v>
      </c>
      <c r="D346" s="53">
        <v>319668.63</v>
      </c>
      <c r="E346" s="53">
        <v>370480.97000000009</v>
      </c>
      <c r="F346" s="53">
        <v>2046921.5300000005</v>
      </c>
      <c r="G346" s="578">
        <f t="shared" si="51"/>
        <v>2737071.1300000008</v>
      </c>
      <c r="H346" s="41"/>
      <c r="I346" s="41"/>
      <c r="J346" s="41"/>
      <c r="K346" s="41">
        <f t="shared" si="53"/>
        <v>319668.63</v>
      </c>
      <c r="L346" s="41">
        <f t="shared" si="54"/>
        <v>370480.97000000009</v>
      </c>
      <c r="M346" s="41">
        <f t="shared" si="55"/>
        <v>2046921.5300000005</v>
      </c>
      <c r="N346" s="363">
        <f t="shared" si="52"/>
        <v>0</v>
      </c>
      <c r="O346" s="43" t="s">
        <v>3309</v>
      </c>
      <c r="P346" s="43"/>
      <c r="R346" s="41">
        <f t="shared" si="48"/>
        <v>0</v>
      </c>
      <c r="S346" s="41">
        <f t="shared" si="49"/>
        <v>0</v>
      </c>
      <c r="T346" s="41">
        <f t="shared" si="50"/>
        <v>0</v>
      </c>
      <c r="U346" s="41"/>
      <c r="V346" s="44" t="str">
        <f>IF($P346="High",$S346,IF($P346="Mix",SUMIF('High_Low Voltage Mix Summary'!$B$10:$B$17,$B251,'High_Low Voltage Mix Summary'!$D$10:$D$17),""))</f>
        <v/>
      </c>
      <c r="W346" s="44" t="str">
        <f>IF($P346="Low",$S346,IF($P346="Mix",SUMIF('High_Low Voltage Mix Summary'!$B$10:$B$17,$B251,'High_Low Voltage Mix Summary'!$E$10:$E$17),""))</f>
        <v/>
      </c>
      <c r="X346" s="44" t="str">
        <f>IF($P346="High",$T346,IF($P346="Mix",SUMIF('High_Low Voltage Mix Summary'!$B$10:$B$17,$B251,'High_Low Voltage Mix Summary'!$F$10:$F$17),""))</f>
        <v/>
      </c>
      <c r="Y346" s="44" t="str">
        <f>IF($P346="Low",$T346,IF($P346="Mix",SUMIF('High_Low Voltage Mix Summary'!$B$10:$B$17,$B251,'High_Low Voltage Mix Summary'!$G$10:$G$17),""))</f>
        <v/>
      </c>
      <c r="Z346" s="44" t="str">
        <f>IF(OR($P346="High",$P346="Low"),"",IF($P346="Mix",SUMIF('High_Low Voltage Mix Summary'!$B$10:$B$17,$B251,'High_Low Voltage Mix Summary'!$H$10:$H$17),""))</f>
        <v/>
      </c>
      <c r="AB346" s="49">
        <f>SUMIF('Antelope Bailey Split BA'!$B$7:$B$29,B346,'Antelope Bailey Split BA'!$C$7:$C$29)</f>
        <v>0</v>
      </c>
      <c r="AC346" s="49" t="str">
        <f>IF(AND(AB346=1,'Plant Total by Account'!$H$1=2),"EKWRA","")</f>
        <v/>
      </c>
    </row>
    <row r="347" spans="1:29" ht="12.75" customHeight="1" x14ac:dyDescent="0.2">
      <c r="A347" s="39" t="s">
        <v>2426</v>
      </c>
      <c r="B347" s="45" t="s">
        <v>442</v>
      </c>
      <c r="C347" s="40" t="s">
        <v>3334</v>
      </c>
      <c r="D347" s="53">
        <v>1492.8000000000002</v>
      </c>
      <c r="E347" s="53">
        <v>382653.57999999996</v>
      </c>
      <c r="F347" s="53">
        <v>5903778.2499999963</v>
      </c>
      <c r="G347" s="578">
        <f t="shared" si="51"/>
        <v>6287924.6299999962</v>
      </c>
      <c r="H347" s="173"/>
      <c r="I347" s="173"/>
      <c r="J347" s="173"/>
      <c r="K347" s="173">
        <f t="shared" si="53"/>
        <v>1492.8000000000002</v>
      </c>
      <c r="L347" s="173">
        <f t="shared" si="54"/>
        <v>382653.57999999996</v>
      </c>
      <c r="M347" s="173">
        <f t="shared" si="55"/>
        <v>5903778.2499999963</v>
      </c>
      <c r="N347" s="363">
        <f t="shared" si="52"/>
        <v>0</v>
      </c>
      <c r="O347" s="43" t="s">
        <v>3309</v>
      </c>
      <c r="P347" s="43"/>
      <c r="R347" s="41">
        <f t="shared" si="48"/>
        <v>0</v>
      </c>
      <c r="S347" s="41">
        <f t="shared" si="49"/>
        <v>0</v>
      </c>
      <c r="T347" s="41">
        <f t="shared" si="50"/>
        <v>0</v>
      </c>
      <c r="U347" s="41"/>
      <c r="V347" s="44" t="str">
        <f>IF($P347="High",$S347,IF($P347="Mix",SUMIF('High_Low Voltage Mix Summary'!$B$10:$B$17,$B764,'High_Low Voltage Mix Summary'!$D$10:$D$17),""))</f>
        <v/>
      </c>
      <c r="W347" s="44" t="str">
        <f>IF($P347="Low",$S347,IF($P347="Mix",SUMIF('High_Low Voltage Mix Summary'!$B$10:$B$17,$B764,'High_Low Voltage Mix Summary'!$E$10:$E$17),""))</f>
        <v/>
      </c>
      <c r="X347" s="44" t="str">
        <f>IF($P347="High",$T347,IF($P347="Mix",SUMIF('High_Low Voltage Mix Summary'!$B$10:$B$17,$B764,'High_Low Voltage Mix Summary'!$F$10:$F$17),""))</f>
        <v/>
      </c>
      <c r="Y347" s="44" t="str">
        <f>IF($P347="Low",$T347,IF($P347="Mix",SUMIF('High_Low Voltage Mix Summary'!$B$10:$B$17,$B764,'High_Low Voltage Mix Summary'!$G$10:$G$17),""))</f>
        <v/>
      </c>
      <c r="Z347" s="44" t="str">
        <f>IF(OR($P347="High",$P347="Low"),"",IF($P347="Mix",SUMIF('High_Low Voltage Mix Summary'!$B$10:$B$17,$B764,'High_Low Voltage Mix Summary'!$H$10:$H$17),""))</f>
        <v/>
      </c>
      <c r="AB347" s="49">
        <f>SUMIF('Antelope Bailey Split BA'!$B$7:$B$29,B347,'Antelope Bailey Split BA'!$C$7:$C$29)</f>
        <v>1</v>
      </c>
      <c r="AC347" s="49" t="str">
        <f>IF(AND(AB347=1,'Plant Total by Account'!$H$1=2),"EKWRA","")</f>
        <v>EKWRA</v>
      </c>
    </row>
    <row r="348" spans="1:29" x14ac:dyDescent="0.2">
      <c r="A348" s="39" t="s">
        <v>2883</v>
      </c>
      <c r="B348" s="45" t="s">
        <v>443</v>
      </c>
      <c r="C348" s="40" t="s">
        <v>3334</v>
      </c>
      <c r="D348" s="53">
        <v>554.46</v>
      </c>
      <c r="E348" s="53">
        <v>86.34</v>
      </c>
      <c r="F348" s="53">
        <v>9814.7799999999988</v>
      </c>
      <c r="G348" s="578">
        <f t="shared" si="51"/>
        <v>10455.579999999998</v>
      </c>
      <c r="H348" s="41"/>
      <c r="I348" s="41"/>
      <c r="J348" s="41"/>
      <c r="K348" s="41">
        <f t="shared" si="53"/>
        <v>554.46</v>
      </c>
      <c r="L348" s="41">
        <f t="shared" si="54"/>
        <v>86.34</v>
      </c>
      <c r="M348" s="41">
        <f t="shared" si="55"/>
        <v>9814.7799999999988</v>
      </c>
      <c r="N348" s="363">
        <f t="shared" si="52"/>
        <v>0</v>
      </c>
      <c r="O348" s="43" t="s">
        <v>3309</v>
      </c>
      <c r="P348" s="43"/>
      <c r="R348" s="41">
        <f t="shared" si="48"/>
        <v>0</v>
      </c>
      <c r="S348" s="41">
        <f t="shared" si="49"/>
        <v>0</v>
      </c>
      <c r="T348" s="41">
        <f t="shared" si="50"/>
        <v>0</v>
      </c>
      <c r="U348" s="41"/>
      <c r="V348" s="44" t="str">
        <f>IF($P348="High",$S348,IF($P348="Mix",SUMIF('High_Low Voltage Mix Summary'!$B$10:$B$17,$B583,'High_Low Voltage Mix Summary'!$D$10:$D$17),""))</f>
        <v/>
      </c>
      <c r="W348" s="44" t="str">
        <f>IF($P348="Low",$S348,IF($P348="Mix",SUMIF('High_Low Voltage Mix Summary'!$B$10:$B$17,$B583,'High_Low Voltage Mix Summary'!$E$10:$E$17),""))</f>
        <v/>
      </c>
      <c r="X348" s="44" t="str">
        <f>IF($P348="High",$T348,IF($P348="Mix",SUMIF('High_Low Voltage Mix Summary'!$B$10:$B$17,$B583,'High_Low Voltage Mix Summary'!$F$10:$F$17),""))</f>
        <v/>
      </c>
      <c r="Y348" s="44" t="str">
        <f>IF($P348="Low",$T348,IF($P348="Mix",SUMIF('High_Low Voltage Mix Summary'!$B$10:$B$17,$B583,'High_Low Voltage Mix Summary'!$G$10:$G$17),""))</f>
        <v/>
      </c>
      <c r="Z348" s="44" t="str">
        <f>IF(OR($P348="High",$P348="Low"),"",IF($P348="Mix",SUMIF('High_Low Voltage Mix Summary'!$B$10:$B$17,$B583,'High_Low Voltage Mix Summary'!$H$10:$H$17),""))</f>
        <v/>
      </c>
      <c r="AB348" s="49">
        <f>SUMIF('Antelope Bailey Split BA'!$B$7:$B$29,B348,'Antelope Bailey Split BA'!$C$7:$C$29)</f>
        <v>0</v>
      </c>
      <c r="AC348" s="49" t="str">
        <f>IF(AND(AB348=1,'Plant Total by Account'!$H$1=2),"EKWRA","")</f>
        <v/>
      </c>
    </row>
    <row r="349" spans="1:29" x14ac:dyDescent="0.2">
      <c r="A349" s="39" t="s">
        <v>2427</v>
      </c>
      <c r="B349" s="45" t="s">
        <v>444</v>
      </c>
      <c r="C349" s="40" t="s">
        <v>3334</v>
      </c>
      <c r="D349" s="53">
        <v>58776.66</v>
      </c>
      <c r="E349" s="53">
        <v>211460.74000000002</v>
      </c>
      <c r="F349" s="53">
        <v>2023252.3200000003</v>
      </c>
      <c r="G349" s="578">
        <f t="shared" si="51"/>
        <v>2293489.7200000002</v>
      </c>
      <c r="H349" s="41"/>
      <c r="I349" s="41"/>
      <c r="J349" s="41"/>
      <c r="K349" s="41">
        <f t="shared" si="53"/>
        <v>58776.66</v>
      </c>
      <c r="L349" s="41">
        <f t="shared" si="54"/>
        <v>211460.74000000002</v>
      </c>
      <c r="M349" s="41">
        <f t="shared" si="55"/>
        <v>2023252.3200000003</v>
      </c>
      <c r="N349" s="363">
        <f t="shared" si="52"/>
        <v>0</v>
      </c>
      <c r="O349" s="43" t="s">
        <v>3309</v>
      </c>
      <c r="P349" s="43"/>
      <c r="R349" s="41">
        <f t="shared" si="48"/>
        <v>0</v>
      </c>
      <c r="S349" s="41">
        <f t="shared" si="49"/>
        <v>0</v>
      </c>
      <c r="T349" s="41">
        <f t="shared" si="50"/>
        <v>0</v>
      </c>
      <c r="U349" s="41"/>
      <c r="V349" s="44" t="str">
        <f>IF($P349="High",$S349,IF($P349="Mix",SUMIF('High_Low Voltage Mix Summary'!$B$10:$B$17,$B252,'High_Low Voltage Mix Summary'!$D$10:$D$17),""))</f>
        <v/>
      </c>
      <c r="W349" s="44" t="str">
        <f>IF($P349="Low",$S349,IF($P349="Mix",SUMIF('High_Low Voltage Mix Summary'!$B$10:$B$17,$B252,'High_Low Voltage Mix Summary'!$E$10:$E$17),""))</f>
        <v/>
      </c>
      <c r="X349" s="44" t="str">
        <f>IF($P349="High",$T349,IF($P349="Mix",SUMIF('High_Low Voltage Mix Summary'!$B$10:$B$17,$B252,'High_Low Voltage Mix Summary'!$F$10:$F$17),""))</f>
        <v/>
      </c>
      <c r="Y349" s="44" t="str">
        <f>IF($P349="Low",$T349,IF($P349="Mix",SUMIF('High_Low Voltage Mix Summary'!$B$10:$B$17,$B252,'High_Low Voltage Mix Summary'!$G$10:$G$17),""))</f>
        <v/>
      </c>
      <c r="Z349" s="44" t="str">
        <f>IF(OR($P349="High",$P349="Low"),"",IF($P349="Mix",SUMIF('High_Low Voltage Mix Summary'!$B$10:$B$17,$B252,'High_Low Voltage Mix Summary'!$H$10:$H$17),""))</f>
        <v/>
      </c>
      <c r="AB349" s="49">
        <f>SUMIF('Antelope Bailey Split BA'!$B$7:$B$29,B349,'Antelope Bailey Split BA'!$C$7:$C$29)</f>
        <v>0</v>
      </c>
      <c r="AC349" s="49" t="str">
        <f>IF(AND(AB349=1,'Plant Total by Account'!$H$1=2),"EKWRA","")</f>
        <v/>
      </c>
    </row>
    <row r="350" spans="1:29" ht="12.75" customHeight="1" x14ac:dyDescent="0.2">
      <c r="A350" s="39" t="s">
        <v>2428</v>
      </c>
      <c r="B350" s="45" t="s">
        <v>451</v>
      </c>
      <c r="C350" s="40" t="s">
        <v>3334</v>
      </c>
      <c r="D350" s="53">
        <v>187.19</v>
      </c>
      <c r="E350" s="53">
        <v>148976.93000000002</v>
      </c>
      <c r="F350" s="53">
        <v>1787024.05</v>
      </c>
      <c r="G350" s="578">
        <f t="shared" si="51"/>
        <v>1936188.1700000002</v>
      </c>
      <c r="H350" s="173"/>
      <c r="I350" s="173"/>
      <c r="J350" s="173"/>
      <c r="K350" s="173">
        <f t="shared" si="53"/>
        <v>187.19</v>
      </c>
      <c r="L350" s="173">
        <f t="shared" si="54"/>
        <v>148976.93000000002</v>
      </c>
      <c r="M350" s="173">
        <f t="shared" si="55"/>
        <v>1787024.05</v>
      </c>
      <c r="N350" s="363">
        <f t="shared" si="52"/>
        <v>0</v>
      </c>
      <c r="O350" s="43" t="s">
        <v>3309</v>
      </c>
      <c r="P350" s="43"/>
      <c r="R350" s="41">
        <f t="shared" si="48"/>
        <v>0</v>
      </c>
      <c r="S350" s="41">
        <f t="shared" si="49"/>
        <v>0</v>
      </c>
      <c r="T350" s="41">
        <f t="shared" si="50"/>
        <v>0</v>
      </c>
      <c r="U350" s="41"/>
      <c r="V350" s="44" t="str">
        <f>IF($P350="High",$S350,IF($P350="Mix",SUMIF('High_Low Voltage Mix Summary'!$B$10:$B$17,$B764,'High_Low Voltage Mix Summary'!$D$10:$D$17),""))</f>
        <v/>
      </c>
      <c r="W350" s="44" t="str">
        <f>IF($P350="Low",$S350,IF($P350="Mix",SUMIF('High_Low Voltage Mix Summary'!$B$10:$B$17,$B764,'High_Low Voltage Mix Summary'!$E$10:$E$17),""))</f>
        <v/>
      </c>
      <c r="X350" s="44" t="str">
        <f>IF($P350="High",$T350,IF($P350="Mix",SUMIF('High_Low Voltage Mix Summary'!$B$10:$B$17,$B764,'High_Low Voltage Mix Summary'!$F$10:$F$17),""))</f>
        <v/>
      </c>
      <c r="Y350" s="44" t="str">
        <f>IF($P350="Low",$T350,IF($P350="Mix",SUMIF('High_Low Voltage Mix Summary'!$B$10:$B$17,$B764,'High_Low Voltage Mix Summary'!$G$10:$G$17),""))</f>
        <v/>
      </c>
      <c r="Z350" s="44" t="str">
        <f>IF(OR($P350="High",$P350="Low"),"",IF($P350="Mix",SUMIF('High_Low Voltage Mix Summary'!$B$10:$B$17,$B764,'High_Low Voltage Mix Summary'!$H$10:$H$17),""))</f>
        <v/>
      </c>
      <c r="AB350" s="49">
        <f>SUMIF('Antelope Bailey Split BA'!$B$7:$B$29,B350,'Antelope Bailey Split BA'!$C$7:$C$29)</f>
        <v>1</v>
      </c>
      <c r="AC350" s="49" t="str">
        <f>IF(AND(AB350=1,'Plant Total by Account'!$H$1=2),"EKWRA","")</f>
        <v>EKWRA</v>
      </c>
    </row>
    <row r="351" spans="1:29" ht="12.75" customHeight="1" x14ac:dyDescent="0.2">
      <c r="A351" s="39" t="s">
        <v>2429</v>
      </c>
      <c r="B351" s="45" t="s">
        <v>453</v>
      </c>
      <c r="C351" s="40" t="s">
        <v>3334</v>
      </c>
      <c r="D351" s="53">
        <v>0</v>
      </c>
      <c r="E351" s="53">
        <v>333421.91000000009</v>
      </c>
      <c r="F351" s="53">
        <v>5975488.6199999964</v>
      </c>
      <c r="G351" s="578">
        <f t="shared" si="51"/>
        <v>6308910.5299999965</v>
      </c>
      <c r="H351" s="173"/>
      <c r="I351" s="173"/>
      <c r="J351" s="173"/>
      <c r="K351" s="173">
        <f t="shared" si="53"/>
        <v>0</v>
      </c>
      <c r="L351" s="173">
        <f t="shared" si="54"/>
        <v>333421.91000000009</v>
      </c>
      <c r="M351" s="173">
        <f t="shared" si="55"/>
        <v>5975488.6199999964</v>
      </c>
      <c r="N351" s="363">
        <f t="shared" si="52"/>
        <v>0</v>
      </c>
      <c r="O351" s="43" t="s">
        <v>3309</v>
      </c>
      <c r="P351" s="43"/>
      <c r="R351" s="41">
        <f t="shared" si="48"/>
        <v>0</v>
      </c>
      <c r="S351" s="41">
        <f t="shared" si="49"/>
        <v>0</v>
      </c>
      <c r="T351" s="41">
        <f t="shared" si="50"/>
        <v>0</v>
      </c>
      <c r="U351" s="41"/>
      <c r="V351" s="44" t="str">
        <f>IF($P351="High",$S351,IF($P351="Mix",SUMIF('High_Low Voltage Mix Summary'!$B$10:$B$17,$B1053,'High_Low Voltage Mix Summary'!$D$10:$D$17),""))</f>
        <v/>
      </c>
      <c r="W351" s="44" t="str">
        <f>IF($P351="Low",$S351,IF($P351="Mix",SUMIF('High_Low Voltage Mix Summary'!$B$10:$B$17,$B1053,'High_Low Voltage Mix Summary'!$E$10:$E$17),""))</f>
        <v/>
      </c>
      <c r="X351" s="44" t="str">
        <f>IF($P351="High",$T351,IF($P351="Mix",SUMIF('High_Low Voltage Mix Summary'!$B$10:$B$17,$B1053,'High_Low Voltage Mix Summary'!$F$10:$F$17),""))</f>
        <v/>
      </c>
      <c r="Y351" s="44" t="str">
        <f>IF($P351="Low",$T351,IF($P351="Mix",SUMIF('High_Low Voltage Mix Summary'!$B$10:$B$17,$B1053,'High_Low Voltage Mix Summary'!$G$10:$G$17),""))</f>
        <v/>
      </c>
      <c r="Z351" s="44" t="str">
        <f>IF(OR($P351="High",$P351="Low"),"",IF($P351="Mix",SUMIF('High_Low Voltage Mix Summary'!$B$10:$B$17,$B1053,'High_Low Voltage Mix Summary'!$H$10:$H$17),""))</f>
        <v/>
      </c>
      <c r="AB351" s="49">
        <f>SUMIF('Antelope Bailey Split BA'!$B$7:$B$29,B351,'Antelope Bailey Split BA'!$C$7:$C$29)</f>
        <v>1</v>
      </c>
      <c r="AC351" s="49" t="str">
        <f>IF(AND(AB351=1,'Plant Total by Account'!$H$1=2),"EKWRA","")</f>
        <v>EKWRA</v>
      </c>
    </row>
    <row r="352" spans="1:29" x14ac:dyDescent="0.2">
      <c r="A352" s="39" t="s">
        <v>2885</v>
      </c>
      <c r="B352" s="45" t="s">
        <v>454</v>
      </c>
      <c r="C352" s="40" t="s">
        <v>3334</v>
      </c>
      <c r="D352" s="53">
        <v>0</v>
      </c>
      <c r="E352" s="53">
        <v>24286.54</v>
      </c>
      <c r="F352" s="53">
        <v>970726.28000000038</v>
      </c>
      <c r="G352" s="578">
        <f t="shared" si="51"/>
        <v>995012.82000000041</v>
      </c>
      <c r="H352" s="41"/>
      <c r="I352" s="41"/>
      <c r="J352" s="41"/>
      <c r="K352" s="41">
        <f t="shared" si="53"/>
        <v>0</v>
      </c>
      <c r="L352" s="41">
        <f t="shared" si="54"/>
        <v>24286.54</v>
      </c>
      <c r="M352" s="41">
        <f t="shared" si="55"/>
        <v>970726.28000000038</v>
      </c>
      <c r="N352" s="363">
        <f t="shared" si="52"/>
        <v>0</v>
      </c>
      <c r="O352" s="43" t="s">
        <v>3309</v>
      </c>
      <c r="P352" s="43"/>
      <c r="R352" s="41">
        <f t="shared" si="48"/>
        <v>0</v>
      </c>
      <c r="S352" s="41">
        <f t="shared" si="49"/>
        <v>0</v>
      </c>
      <c r="T352" s="41">
        <f t="shared" si="50"/>
        <v>0</v>
      </c>
      <c r="U352" s="41"/>
      <c r="V352" s="44" t="str">
        <f>IF($P352="High",$S352,IF($P352="Mix",SUMIF('High_Low Voltage Mix Summary'!$B$10:$B$17,$B583,'High_Low Voltage Mix Summary'!$D$10:$D$17),""))</f>
        <v/>
      </c>
      <c r="W352" s="44" t="str">
        <f>IF($P352="Low",$S352,IF($P352="Mix",SUMIF('High_Low Voltage Mix Summary'!$B$10:$B$17,$B583,'High_Low Voltage Mix Summary'!$E$10:$E$17),""))</f>
        <v/>
      </c>
      <c r="X352" s="44" t="str">
        <f>IF($P352="High",$T352,IF($P352="Mix",SUMIF('High_Low Voltage Mix Summary'!$B$10:$B$17,$B583,'High_Low Voltage Mix Summary'!$F$10:$F$17),""))</f>
        <v/>
      </c>
      <c r="Y352" s="44" t="str">
        <f>IF($P352="Low",$T352,IF($P352="Mix",SUMIF('High_Low Voltage Mix Summary'!$B$10:$B$17,$B583,'High_Low Voltage Mix Summary'!$G$10:$G$17),""))</f>
        <v/>
      </c>
      <c r="Z352" s="44" t="str">
        <f>IF(OR($P352="High",$P352="Low"),"",IF($P352="Mix",SUMIF('High_Low Voltage Mix Summary'!$B$10:$B$17,$B583,'High_Low Voltage Mix Summary'!$H$10:$H$17),""))</f>
        <v/>
      </c>
      <c r="AB352" s="49">
        <f>SUMIF('Antelope Bailey Split BA'!$B$7:$B$29,B352,'Antelope Bailey Split BA'!$C$7:$C$29)</f>
        <v>0</v>
      </c>
      <c r="AC352" s="49" t="str">
        <f>IF(AND(AB352=1,'Plant Total by Account'!$H$1=2),"EKWRA","")</f>
        <v/>
      </c>
    </row>
    <row r="353" spans="1:29" x14ac:dyDescent="0.2">
      <c r="A353" s="39" t="s">
        <v>2886</v>
      </c>
      <c r="B353" s="45" t="s">
        <v>455</v>
      </c>
      <c r="C353" s="40" t="s">
        <v>3334</v>
      </c>
      <c r="D353" s="53">
        <v>0</v>
      </c>
      <c r="E353" s="53">
        <v>58840.989999999991</v>
      </c>
      <c r="F353" s="53">
        <v>2077868.7</v>
      </c>
      <c r="G353" s="578">
        <f t="shared" si="51"/>
        <v>2136709.69</v>
      </c>
      <c r="H353" s="41"/>
      <c r="I353" s="41"/>
      <c r="J353" s="41"/>
      <c r="K353" s="41">
        <f t="shared" si="53"/>
        <v>0</v>
      </c>
      <c r="L353" s="41">
        <f t="shared" si="54"/>
        <v>58840.989999999991</v>
      </c>
      <c r="M353" s="41">
        <f t="shared" si="55"/>
        <v>2077868.7</v>
      </c>
      <c r="N353" s="363">
        <f t="shared" si="52"/>
        <v>0</v>
      </c>
      <c r="O353" s="43" t="s">
        <v>3309</v>
      </c>
      <c r="P353" s="43"/>
      <c r="R353" s="41">
        <f t="shared" si="48"/>
        <v>0</v>
      </c>
      <c r="S353" s="41">
        <f t="shared" si="49"/>
        <v>0</v>
      </c>
      <c r="T353" s="41">
        <f t="shared" si="50"/>
        <v>0</v>
      </c>
      <c r="U353" s="41"/>
      <c r="V353" s="44" t="str">
        <f>IF($P353="High",$S353,IF($P353="Mix",SUMIF('High_Low Voltage Mix Summary'!$B$10:$B$17,$B562,'High_Low Voltage Mix Summary'!$D$10:$D$17),""))</f>
        <v/>
      </c>
      <c r="W353" s="44" t="str">
        <f>IF($P353="Low",$S353,IF($P353="Mix",SUMIF('High_Low Voltage Mix Summary'!$B$10:$B$17,$B562,'High_Low Voltage Mix Summary'!$E$10:$E$17),""))</f>
        <v/>
      </c>
      <c r="X353" s="44" t="str">
        <f>IF($P353="High",$T353,IF($P353="Mix",SUMIF('High_Low Voltage Mix Summary'!$B$10:$B$17,$B562,'High_Low Voltage Mix Summary'!$F$10:$F$17),""))</f>
        <v/>
      </c>
      <c r="Y353" s="44" t="str">
        <f>IF($P353="Low",$T353,IF($P353="Mix",SUMIF('High_Low Voltage Mix Summary'!$B$10:$B$17,$B562,'High_Low Voltage Mix Summary'!$G$10:$G$17),""))</f>
        <v/>
      </c>
      <c r="Z353" s="44" t="str">
        <f>IF(OR($P353="High",$P353="Low"),"",IF($P353="Mix",SUMIF('High_Low Voltage Mix Summary'!$B$10:$B$17,$B562,'High_Low Voltage Mix Summary'!$H$10:$H$17),""))</f>
        <v/>
      </c>
      <c r="AB353" s="49">
        <f>SUMIF('Antelope Bailey Split BA'!$B$7:$B$29,B353,'Antelope Bailey Split BA'!$C$7:$C$29)</f>
        <v>0</v>
      </c>
      <c r="AC353" s="49" t="str">
        <f>IF(AND(AB353=1,'Plant Total by Account'!$H$1=2),"EKWRA","")</f>
        <v/>
      </c>
    </row>
    <row r="354" spans="1:29" ht="12.75" customHeight="1" x14ac:dyDescent="0.2">
      <c r="A354" s="39" t="s">
        <v>2887</v>
      </c>
      <c r="B354" s="45" t="s">
        <v>456</v>
      </c>
      <c r="C354" s="40" t="s">
        <v>3334</v>
      </c>
      <c r="D354" s="53">
        <v>28584.49</v>
      </c>
      <c r="E354" s="53">
        <v>422945.18999999989</v>
      </c>
      <c r="F354" s="53">
        <v>5677183.7599999961</v>
      </c>
      <c r="G354" s="578">
        <f t="shared" si="51"/>
        <v>6128713.4399999958</v>
      </c>
      <c r="H354" s="41"/>
      <c r="I354" s="41"/>
      <c r="J354" s="41"/>
      <c r="K354" s="41">
        <f t="shared" si="53"/>
        <v>28584.49</v>
      </c>
      <c r="L354" s="41">
        <f t="shared" si="54"/>
        <v>422945.18999999989</v>
      </c>
      <c r="M354" s="41">
        <f t="shared" si="55"/>
        <v>5677183.7599999961</v>
      </c>
      <c r="N354" s="363">
        <f t="shared" si="52"/>
        <v>0</v>
      </c>
      <c r="O354" s="43" t="s">
        <v>3309</v>
      </c>
      <c r="P354" s="43"/>
      <c r="R354" s="41">
        <f t="shared" si="48"/>
        <v>0</v>
      </c>
      <c r="S354" s="41">
        <f t="shared" si="49"/>
        <v>0</v>
      </c>
      <c r="T354" s="41">
        <f t="shared" si="50"/>
        <v>0</v>
      </c>
      <c r="U354" s="41"/>
      <c r="V354" s="44" t="str">
        <f>IF($P354="High",$S354,IF($P354="Mix",SUMIF('High_Low Voltage Mix Summary'!$B$10:$B$17,$B251,'High_Low Voltage Mix Summary'!$D$10:$D$17),""))</f>
        <v/>
      </c>
      <c r="W354" s="44" t="str">
        <f>IF($P354="Low",$S354,IF($P354="Mix",SUMIF('High_Low Voltage Mix Summary'!$B$10:$B$17,$B251,'High_Low Voltage Mix Summary'!$E$10:$E$17),""))</f>
        <v/>
      </c>
      <c r="X354" s="44" t="str">
        <f>IF($P354="High",$T354,IF($P354="Mix",SUMIF('High_Low Voltage Mix Summary'!$B$10:$B$17,$B251,'High_Low Voltage Mix Summary'!$F$10:$F$17),""))</f>
        <v/>
      </c>
      <c r="Y354" s="44" t="str">
        <f>IF($P354="Low",$T354,IF($P354="Mix",SUMIF('High_Low Voltage Mix Summary'!$B$10:$B$17,$B251,'High_Low Voltage Mix Summary'!$G$10:$G$17),""))</f>
        <v/>
      </c>
      <c r="Z354" s="44" t="str">
        <f>IF(OR($P354="High",$P354="Low"),"",IF($P354="Mix",SUMIF('High_Low Voltage Mix Summary'!$B$10:$B$17,$B251,'High_Low Voltage Mix Summary'!$H$10:$H$17),""))</f>
        <v/>
      </c>
      <c r="AB354" s="49">
        <f>SUMIF('Antelope Bailey Split BA'!$B$7:$B$29,B354,'Antelope Bailey Split BA'!$C$7:$C$29)</f>
        <v>0</v>
      </c>
      <c r="AC354" s="49" t="str">
        <f>IF(AND(AB354=1,'Plant Total by Account'!$H$1=2),"EKWRA","")</f>
        <v/>
      </c>
    </row>
    <row r="355" spans="1:29" ht="12.75" customHeight="1" x14ac:dyDescent="0.2">
      <c r="A355" s="39" t="s">
        <v>2430</v>
      </c>
      <c r="B355" s="45" t="s">
        <v>457</v>
      </c>
      <c r="C355" s="40" t="s">
        <v>3334</v>
      </c>
      <c r="D355" s="53">
        <v>442.59000000000003</v>
      </c>
      <c r="E355" s="53">
        <v>367752.41</v>
      </c>
      <c r="F355" s="53">
        <v>8625515.0299999993</v>
      </c>
      <c r="G355" s="578">
        <f t="shared" si="51"/>
        <v>8993710.0299999993</v>
      </c>
      <c r="H355" s="173"/>
      <c r="I355" s="173"/>
      <c r="J355" s="173"/>
      <c r="K355" s="173">
        <f t="shared" si="53"/>
        <v>442.59000000000003</v>
      </c>
      <c r="L355" s="173">
        <f t="shared" si="54"/>
        <v>367752.41</v>
      </c>
      <c r="M355" s="173">
        <f t="shared" si="55"/>
        <v>8625515.0299999993</v>
      </c>
      <c r="N355" s="363">
        <f t="shared" si="52"/>
        <v>0</v>
      </c>
      <c r="O355" s="43" t="s">
        <v>3309</v>
      </c>
      <c r="P355" s="43"/>
      <c r="R355" s="41">
        <f t="shared" si="48"/>
        <v>0</v>
      </c>
      <c r="S355" s="41">
        <f t="shared" si="49"/>
        <v>0</v>
      </c>
      <c r="T355" s="41">
        <f t="shared" si="50"/>
        <v>0</v>
      </c>
      <c r="U355" s="41"/>
      <c r="V355" s="44" t="str">
        <f>IF($P355="High",$S355,IF($P355="Mix",SUMIF('High_Low Voltage Mix Summary'!$B$10:$B$17,$B763,'High_Low Voltage Mix Summary'!$D$10:$D$17),""))</f>
        <v/>
      </c>
      <c r="W355" s="44" t="str">
        <f>IF($P355="Low",$S355,IF($P355="Mix",SUMIF('High_Low Voltage Mix Summary'!$B$10:$B$17,$B763,'High_Low Voltage Mix Summary'!$E$10:$E$17),""))</f>
        <v/>
      </c>
      <c r="X355" s="44" t="str">
        <f>IF($P355="High",$T355,IF($P355="Mix",SUMIF('High_Low Voltage Mix Summary'!$B$10:$B$17,$B763,'High_Low Voltage Mix Summary'!$F$10:$F$17),""))</f>
        <v/>
      </c>
      <c r="Y355" s="44" t="str">
        <f>IF($P355="Low",$T355,IF($P355="Mix",SUMIF('High_Low Voltage Mix Summary'!$B$10:$B$17,$B763,'High_Low Voltage Mix Summary'!$G$10:$G$17),""))</f>
        <v/>
      </c>
      <c r="Z355" s="44" t="str">
        <f>IF(OR($P355="High",$P355="Low"),"",IF($P355="Mix",SUMIF('High_Low Voltage Mix Summary'!$B$10:$B$17,$B763,'High_Low Voltage Mix Summary'!$H$10:$H$17),""))</f>
        <v/>
      </c>
      <c r="AB355" s="49">
        <f>SUMIF('Antelope Bailey Split BA'!$B$7:$B$29,B355,'Antelope Bailey Split BA'!$C$7:$C$29)</f>
        <v>1</v>
      </c>
      <c r="AC355" s="49" t="str">
        <f>IF(AND(AB355=1,'Plant Total by Account'!$H$1=2),"EKWRA","")</f>
        <v>EKWRA</v>
      </c>
    </row>
    <row r="356" spans="1:29" x14ac:dyDescent="0.2">
      <c r="A356" s="39" t="s">
        <v>2888</v>
      </c>
      <c r="B356" s="45" t="s">
        <v>458</v>
      </c>
      <c r="C356" s="40" t="s">
        <v>3334</v>
      </c>
      <c r="D356" s="53">
        <v>14388.89</v>
      </c>
      <c r="E356" s="53">
        <v>301346.06</v>
      </c>
      <c r="F356" s="53">
        <v>5449553.4000000032</v>
      </c>
      <c r="G356" s="578">
        <f t="shared" si="51"/>
        <v>5765288.3500000034</v>
      </c>
      <c r="H356" s="41"/>
      <c r="I356" s="41"/>
      <c r="J356" s="41"/>
      <c r="K356" s="41">
        <f t="shared" si="53"/>
        <v>14388.89</v>
      </c>
      <c r="L356" s="41">
        <f t="shared" si="54"/>
        <v>301346.06</v>
      </c>
      <c r="M356" s="41">
        <f t="shared" si="55"/>
        <v>5449553.4000000032</v>
      </c>
      <c r="N356" s="363">
        <f t="shared" si="52"/>
        <v>0</v>
      </c>
      <c r="O356" s="43" t="s">
        <v>3309</v>
      </c>
      <c r="P356" s="43"/>
      <c r="R356" s="41">
        <f t="shared" si="48"/>
        <v>0</v>
      </c>
      <c r="S356" s="41">
        <f t="shared" si="49"/>
        <v>0</v>
      </c>
      <c r="T356" s="41">
        <f t="shared" si="50"/>
        <v>0</v>
      </c>
      <c r="U356" s="41"/>
      <c r="V356" s="44" t="str">
        <f>IF($P356="High",$S356,IF($P356="Mix",SUMIF('High_Low Voltage Mix Summary'!$B$10:$B$17,$B583,'High_Low Voltage Mix Summary'!$D$10:$D$17),""))</f>
        <v/>
      </c>
      <c r="W356" s="44" t="str">
        <f>IF($P356="Low",$S356,IF($P356="Mix",SUMIF('High_Low Voltage Mix Summary'!$B$10:$B$17,$B583,'High_Low Voltage Mix Summary'!$E$10:$E$17),""))</f>
        <v/>
      </c>
      <c r="X356" s="44" t="str">
        <f>IF($P356="High",$T356,IF($P356="Mix",SUMIF('High_Low Voltage Mix Summary'!$B$10:$B$17,$B583,'High_Low Voltage Mix Summary'!$F$10:$F$17),""))</f>
        <v/>
      </c>
      <c r="Y356" s="44" t="str">
        <f>IF($P356="Low",$T356,IF($P356="Mix",SUMIF('High_Low Voltage Mix Summary'!$B$10:$B$17,$B583,'High_Low Voltage Mix Summary'!$G$10:$G$17),""))</f>
        <v/>
      </c>
      <c r="Z356" s="44" t="str">
        <f>IF(OR($P356="High",$P356="Low"),"",IF($P356="Mix",SUMIF('High_Low Voltage Mix Summary'!$B$10:$B$17,$B583,'High_Low Voltage Mix Summary'!$H$10:$H$17),""))</f>
        <v/>
      </c>
      <c r="AB356" s="49">
        <f>SUMIF('Antelope Bailey Split BA'!$B$7:$B$29,B356,'Antelope Bailey Split BA'!$C$7:$C$29)</f>
        <v>0</v>
      </c>
      <c r="AC356" s="49" t="str">
        <f>IF(AND(AB356=1,'Plant Total by Account'!$H$1=2),"EKWRA","")</f>
        <v/>
      </c>
    </row>
    <row r="357" spans="1:29" x14ac:dyDescent="0.2">
      <c r="A357" s="39" t="s">
        <v>2889</v>
      </c>
      <c r="B357" s="45" t="s">
        <v>459</v>
      </c>
      <c r="C357" s="40" t="s">
        <v>3333</v>
      </c>
      <c r="D357" s="53">
        <v>6752.07</v>
      </c>
      <c r="E357" s="53">
        <v>64975.010000000009</v>
      </c>
      <c r="F357" s="53">
        <v>1033663.2700000003</v>
      </c>
      <c r="G357" s="578">
        <f t="shared" si="51"/>
        <v>1105390.3500000003</v>
      </c>
      <c r="H357" s="41"/>
      <c r="I357" s="41"/>
      <c r="J357" s="41"/>
      <c r="K357" s="41">
        <f t="shared" si="53"/>
        <v>6752.07</v>
      </c>
      <c r="L357" s="41">
        <f t="shared" si="54"/>
        <v>64975.010000000009</v>
      </c>
      <c r="M357" s="41">
        <f t="shared" si="55"/>
        <v>1033663.2700000003</v>
      </c>
      <c r="N357" s="363">
        <f t="shared" si="52"/>
        <v>0</v>
      </c>
      <c r="O357" s="43" t="s">
        <v>3309</v>
      </c>
      <c r="P357" s="43"/>
      <c r="R357" s="41">
        <f t="shared" si="48"/>
        <v>0</v>
      </c>
      <c r="S357" s="41">
        <f t="shared" si="49"/>
        <v>0</v>
      </c>
      <c r="T357" s="41">
        <f t="shared" si="50"/>
        <v>0</v>
      </c>
      <c r="U357" s="41"/>
      <c r="V357" s="44" t="str">
        <f>IF($P357="High",$S357,IF($P357="Mix",SUMIF('High_Low Voltage Mix Summary'!$B$10:$B$17,$B252,'High_Low Voltage Mix Summary'!$D$10:$D$17),""))</f>
        <v/>
      </c>
      <c r="W357" s="44" t="str">
        <f>IF($P357="Low",$S357,IF($P357="Mix",SUMIF('High_Low Voltage Mix Summary'!$B$10:$B$17,$B252,'High_Low Voltage Mix Summary'!$E$10:$E$17),""))</f>
        <v/>
      </c>
      <c r="X357" s="44" t="str">
        <f>IF($P357="High",$T357,IF($P357="Mix",SUMIF('High_Low Voltage Mix Summary'!$B$10:$B$17,$B252,'High_Low Voltage Mix Summary'!$F$10:$F$17),""))</f>
        <v/>
      </c>
      <c r="Y357" s="44" t="str">
        <f>IF($P357="Low",$T357,IF($P357="Mix",SUMIF('High_Low Voltage Mix Summary'!$B$10:$B$17,$B252,'High_Low Voltage Mix Summary'!$G$10:$G$17),""))</f>
        <v/>
      </c>
      <c r="Z357" s="44" t="str">
        <f>IF(OR($P357="High",$P357="Low"),"",IF($P357="Mix",SUMIF('High_Low Voltage Mix Summary'!$B$10:$B$17,$B252,'High_Low Voltage Mix Summary'!$H$10:$H$17),""))</f>
        <v/>
      </c>
      <c r="AB357" s="49">
        <f>SUMIF('Antelope Bailey Split BA'!$B$7:$B$29,B357,'Antelope Bailey Split BA'!$C$7:$C$29)</f>
        <v>0</v>
      </c>
      <c r="AC357" s="49" t="str">
        <f>IF(AND(AB357=1,'Plant Total by Account'!$H$1=2),"EKWRA","")</f>
        <v/>
      </c>
    </row>
    <row r="358" spans="1:29" ht="12.75" customHeight="1" x14ac:dyDescent="0.2">
      <c r="A358" s="39" t="s">
        <v>2890</v>
      </c>
      <c r="B358" s="45" t="s">
        <v>460</v>
      </c>
      <c r="C358" s="40" t="s">
        <v>3334</v>
      </c>
      <c r="D358" s="53">
        <v>0</v>
      </c>
      <c r="E358" s="53">
        <v>25088.46</v>
      </c>
      <c r="F358" s="53">
        <v>821363.42000000016</v>
      </c>
      <c r="G358" s="578">
        <f t="shared" si="51"/>
        <v>846451.88000000012</v>
      </c>
      <c r="H358" s="41"/>
      <c r="I358" s="41"/>
      <c r="J358" s="41"/>
      <c r="K358" s="41">
        <f t="shared" si="53"/>
        <v>0</v>
      </c>
      <c r="L358" s="41">
        <f t="shared" si="54"/>
        <v>25088.46</v>
      </c>
      <c r="M358" s="41">
        <f t="shared" si="55"/>
        <v>821363.42000000016</v>
      </c>
      <c r="N358" s="363">
        <f t="shared" si="52"/>
        <v>0</v>
      </c>
      <c r="O358" s="43" t="s">
        <v>3309</v>
      </c>
      <c r="P358" s="43"/>
      <c r="R358" s="41">
        <f t="shared" si="48"/>
        <v>0</v>
      </c>
      <c r="S358" s="41">
        <f t="shared" si="49"/>
        <v>0</v>
      </c>
      <c r="T358" s="41">
        <f t="shared" si="50"/>
        <v>0</v>
      </c>
      <c r="U358" s="41"/>
      <c r="V358" s="44" t="str">
        <f>IF($P358="High",$S358,IF($P358="Mix",SUMIF('High_Low Voltage Mix Summary'!$B$10:$B$17,$B663,'High_Low Voltage Mix Summary'!$D$10:$D$17),""))</f>
        <v/>
      </c>
      <c r="W358" s="44" t="str">
        <f>IF($P358="Low",$S358,IF($P358="Mix",SUMIF('High_Low Voltage Mix Summary'!$B$10:$B$17,$B663,'High_Low Voltage Mix Summary'!$E$10:$E$17),""))</f>
        <v/>
      </c>
      <c r="X358" s="44" t="str">
        <f>IF($P358="High",$T358,IF($P358="Mix",SUMIF('High_Low Voltage Mix Summary'!$B$10:$B$17,$B663,'High_Low Voltage Mix Summary'!$F$10:$F$17),""))</f>
        <v/>
      </c>
      <c r="Y358" s="44" t="str">
        <f>IF($P358="Low",$T358,IF($P358="Mix",SUMIF('High_Low Voltage Mix Summary'!$B$10:$B$17,$B663,'High_Low Voltage Mix Summary'!$G$10:$G$17),""))</f>
        <v/>
      </c>
      <c r="Z358" s="44" t="str">
        <f>IF(OR($P358="High",$P358="Low"),"",IF($P358="Mix",SUMIF('High_Low Voltage Mix Summary'!$B$10:$B$17,$B663,'High_Low Voltage Mix Summary'!$H$10:$H$17),""))</f>
        <v/>
      </c>
      <c r="AB358" s="49">
        <f>SUMIF('Antelope Bailey Split BA'!$B$7:$B$29,B358,'Antelope Bailey Split BA'!$C$7:$C$29)</f>
        <v>0</v>
      </c>
      <c r="AC358" s="49" t="str">
        <f>IF(AND(AB358=1,'Plant Total by Account'!$H$1=2),"EKWRA","")</f>
        <v/>
      </c>
    </row>
    <row r="359" spans="1:29" ht="12.75" customHeight="1" x14ac:dyDescent="0.2">
      <c r="A359" s="39" t="s">
        <v>2891</v>
      </c>
      <c r="B359" s="45" t="s">
        <v>462</v>
      </c>
      <c r="C359" s="40" t="s">
        <v>3334</v>
      </c>
      <c r="D359" s="53">
        <v>0</v>
      </c>
      <c r="E359" s="53">
        <v>77034.73</v>
      </c>
      <c r="F359" s="53">
        <v>373364.78</v>
      </c>
      <c r="G359" s="578">
        <f t="shared" si="51"/>
        <v>450399.51</v>
      </c>
      <c r="H359" s="41"/>
      <c r="I359" s="41"/>
      <c r="J359" s="41"/>
      <c r="K359" s="41">
        <f t="shared" si="53"/>
        <v>0</v>
      </c>
      <c r="L359" s="41">
        <f t="shared" si="54"/>
        <v>77034.73</v>
      </c>
      <c r="M359" s="41">
        <f t="shared" si="55"/>
        <v>373364.78</v>
      </c>
      <c r="N359" s="363">
        <f t="shared" si="52"/>
        <v>0</v>
      </c>
      <c r="O359" s="43" t="s">
        <v>3309</v>
      </c>
      <c r="P359" s="43"/>
      <c r="R359" s="41">
        <f t="shared" si="48"/>
        <v>0</v>
      </c>
      <c r="S359" s="41">
        <f t="shared" si="49"/>
        <v>0</v>
      </c>
      <c r="T359" s="41">
        <f t="shared" si="50"/>
        <v>0</v>
      </c>
      <c r="U359" s="41"/>
      <c r="V359" s="44" t="str">
        <f>IF($P359="High",$S359,IF($P359="Mix",SUMIF('High_Low Voltage Mix Summary'!$B$10:$B$17,$B583,'High_Low Voltage Mix Summary'!$D$10:$D$17),""))</f>
        <v/>
      </c>
      <c r="W359" s="44" t="str">
        <f>IF($P359="Low",$S359,IF($P359="Mix",SUMIF('High_Low Voltage Mix Summary'!$B$10:$B$17,$B583,'High_Low Voltage Mix Summary'!$E$10:$E$17),""))</f>
        <v/>
      </c>
      <c r="X359" s="44" t="str">
        <f>IF($P359="High",$T359,IF($P359="Mix",SUMIF('High_Low Voltage Mix Summary'!$B$10:$B$17,$B583,'High_Low Voltage Mix Summary'!$F$10:$F$17),""))</f>
        <v/>
      </c>
      <c r="Y359" s="44" t="str">
        <f>IF($P359="Low",$T359,IF($P359="Mix",SUMIF('High_Low Voltage Mix Summary'!$B$10:$B$17,$B583,'High_Low Voltage Mix Summary'!$G$10:$G$17),""))</f>
        <v/>
      </c>
      <c r="Z359" s="44" t="str">
        <f>IF(OR($P359="High",$P359="Low"),"",IF($P359="Mix",SUMIF('High_Low Voltage Mix Summary'!$B$10:$B$17,$B583,'High_Low Voltage Mix Summary'!$H$10:$H$17),""))</f>
        <v/>
      </c>
      <c r="AB359" s="49">
        <f>SUMIF('Antelope Bailey Split BA'!$B$7:$B$29,B359,'Antelope Bailey Split BA'!$C$7:$C$29)</f>
        <v>0</v>
      </c>
      <c r="AC359" s="49" t="str">
        <f>IF(AND(AB359=1,'Plant Total by Account'!$H$1=2),"EKWRA","")</f>
        <v/>
      </c>
    </row>
    <row r="360" spans="1:29" ht="12.75" customHeight="1" x14ac:dyDescent="0.2">
      <c r="A360" s="39" t="s">
        <v>2431</v>
      </c>
      <c r="B360" s="45" t="s">
        <v>461</v>
      </c>
      <c r="C360" s="40" t="s">
        <v>3334</v>
      </c>
      <c r="D360" s="53">
        <v>11913.320000000002</v>
      </c>
      <c r="E360" s="53">
        <v>432520.58</v>
      </c>
      <c r="F360" s="53">
        <v>7623460.3700000048</v>
      </c>
      <c r="G360" s="578">
        <f t="shared" si="51"/>
        <v>8067894.2700000051</v>
      </c>
      <c r="H360" s="173"/>
      <c r="I360" s="173"/>
      <c r="J360" s="173"/>
      <c r="K360" s="173">
        <f t="shared" si="53"/>
        <v>11913.320000000002</v>
      </c>
      <c r="L360" s="173">
        <f t="shared" si="54"/>
        <v>432520.58</v>
      </c>
      <c r="M360" s="173">
        <f t="shared" si="55"/>
        <v>7623460.3700000048</v>
      </c>
      <c r="N360" s="363">
        <f t="shared" si="52"/>
        <v>0</v>
      </c>
      <c r="O360" s="43" t="s">
        <v>3309</v>
      </c>
      <c r="P360" s="43"/>
      <c r="R360" s="41">
        <f t="shared" si="48"/>
        <v>0</v>
      </c>
      <c r="S360" s="41">
        <f t="shared" si="49"/>
        <v>0</v>
      </c>
      <c r="T360" s="41">
        <f t="shared" si="50"/>
        <v>0</v>
      </c>
      <c r="U360" s="41"/>
      <c r="V360" s="44" t="str">
        <f>IF($P360="High",$S360,IF($P360="Mix",SUMIF('High_Low Voltage Mix Summary'!$B$10:$B$17,$B762,'High_Low Voltage Mix Summary'!$D$10:$D$17),""))</f>
        <v/>
      </c>
      <c r="W360" s="44" t="str">
        <f>IF($P360="Low",$S360,IF($P360="Mix",SUMIF('High_Low Voltage Mix Summary'!$B$10:$B$17,$B762,'High_Low Voltage Mix Summary'!$E$10:$E$17),""))</f>
        <v/>
      </c>
      <c r="X360" s="44" t="str">
        <f>IF($P360="High",$T360,IF($P360="Mix",SUMIF('High_Low Voltage Mix Summary'!$B$10:$B$17,$B762,'High_Low Voltage Mix Summary'!$F$10:$F$17),""))</f>
        <v/>
      </c>
      <c r="Y360" s="44" t="str">
        <f>IF($P360="Low",$T360,IF($P360="Mix",SUMIF('High_Low Voltage Mix Summary'!$B$10:$B$17,$B762,'High_Low Voltage Mix Summary'!$G$10:$G$17),""))</f>
        <v/>
      </c>
      <c r="Z360" s="44" t="str">
        <f>IF(OR($P360="High",$P360="Low"),"",IF($P360="Mix",SUMIF('High_Low Voltage Mix Summary'!$B$10:$B$17,$B762,'High_Low Voltage Mix Summary'!$H$10:$H$17),""))</f>
        <v/>
      </c>
      <c r="AB360" s="49">
        <f>SUMIF('Antelope Bailey Split BA'!$B$7:$B$29,B360,'Antelope Bailey Split BA'!$C$7:$C$29)</f>
        <v>1</v>
      </c>
      <c r="AC360" s="49" t="str">
        <f>IF(AND(AB360=1,'Plant Total by Account'!$H$1=2),"EKWRA","")</f>
        <v>EKWRA</v>
      </c>
    </row>
    <row r="361" spans="1:29" x14ac:dyDescent="0.2">
      <c r="A361" s="39" t="s">
        <v>2892</v>
      </c>
      <c r="B361" s="45" t="s">
        <v>463</v>
      </c>
      <c r="C361" s="40" t="s">
        <v>3333</v>
      </c>
      <c r="D361" s="53">
        <v>5859.13</v>
      </c>
      <c r="E361" s="53">
        <v>58699.039999999994</v>
      </c>
      <c r="F361" s="53">
        <v>677146.64000000013</v>
      </c>
      <c r="G361" s="578">
        <f t="shared" si="51"/>
        <v>741704.81000000017</v>
      </c>
      <c r="H361" s="41"/>
      <c r="I361" s="41"/>
      <c r="J361" s="41"/>
      <c r="K361" s="41">
        <f t="shared" si="53"/>
        <v>5859.13</v>
      </c>
      <c r="L361" s="41">
        <f t="shared" si="54"/>
        <v>58699.039999999994</v>
      </c>
      <c r="M361" s="41">
        <f t="shared" si="55"/>
        <v>677146.64000000013</v>
      </c>
      <c r="N361" s="363">
        <f t="shared" si="52"/>
        <v>0</v>
      </c>
      <c r="O361" s="43" t="s">
        <v>3309</v>
      </c>
      <c r="P361" s="43"/>
      <c r="R361" s="41">
        <f t="shared" si="48"/>
        <v>0</v>
      </c>
      <c r="S361" s="41">
        <f t="shared" si="49"/>
        <v>0</v>
      </c>
      <c r="T361" s="41">
        <f t="shared" si="50"/>
        <v>0</v>
      </c>
      <c r="U361" s="41"/>
      <c r="V361" s="44" t="str">
        <f>IF($P361="High",$S361,IF($P361="Mix",SUMIF('High_Low Voltage Mix Summary'!$B$10:$B$17,$B253,'High_Low Voltage Mix Summary'!$D$10:$D$17),""))</f>
        <v/>
      </c>
      <c r="W361" s="44" t="str">
        <f>IF($P361="Low",$S361,IF($P361="Mix",SUMIF('High_Low Voltage Mix Summary'!$B$10:$B$17,$B253,'High_Low Voltage Mix Summary'!$E$10:$E$17),""))</f>
        <v/>
      </c>
      <c r="X361" s="44" t="str">
        <f>IF($P361="High",$T361,IF($P361="Mix",SUMIF('High_Low Voltage Mix Summary'!$B$10:$B$17,$B253,'High_Low Voltage Mix Summary'!$F$10:$F$17),""))</f>
        <v/>
      </c>
      <c r="Y361" s="44" t="str">
        <f>IF($P361="Low",$T361,IF($P361="Mix",SUMIF('High_Low Voltage Mix Summary'!$B$10:$B$17,$B253,'High_Low Voltage Mix Summary'!$G$10:$G$17),""))</f>
        <v/>
      </c>
      <c r="Z361" s="44" t="str">
        <f>IF(OR($P361="High",$P361="Low"),"",IF($P361="Mix",SUMIF('High_Low Voltage Mix Summary'!$B$10:$B$17,$B253,'High_Low Voltage Mix Summary'!$H$10:$H$17),""))</f>
        <v/>
      </c>
      <c r="AB361" s="49">
        <f>SUMIF('Antelope Bailey Split BA'!$B$7:$B$29,B361,'Antelope Bailey Split BA'!$C$7:$C$29)</f>
        <v>0</v>
      </c>
      <c r="AC361" s="49" t="str">
        <f>IF(AND(AB361=1,'Plant Total by Account'!$H$1=2),"EKWRA","")</f>
        <v/>
      </c>
    </row>
    <row r="362" spans="1:29" x14ac:dyDescent="0.2">
      <c r="A362" s="39" t="s">
        <v>2893</v>
      </c>
      <c r="B362" s="45" t="s">
        <v>464</v>
      </c>
      <c r="C362" s="40" t="s">
        <v>3334</v>
      </c>
      <c r="D362" s="53">
        <v>389360.72</v>
      </c>
      <c r="E362" s="53">
        <v>866592.23</v>
      </c>
      <c r="F362" s="53">
        <v>4154937.5000000005</v>
      </c>
      <c r="G362" s="578">
        <f t="shared" si="51"/>
        <v>5410890.4500000002</v>
      </c>
      <c r="H362" s="41"/>
      <c r="I362" s="41"/>
      <c r="J362" s="41"/>
      <c r="K362" s="41">
        <f t="shared" si="53"/>
        <v>389360.72</v>
      </c>
      <c r="L362" s="41">
        <f t="shared" si="54"/>
        <v>866592.23</v>
      </c>
      <c r="M362" s="41">
        <f t="shared" si="55"/>
        <v>4154937.5000000005</v>
      </c>
      <c r="N362" s="363">
        <f t="shared" si="52"/>
        <v>0</v>
      </c>
      <c r="O362" s="43" t="s">
        <v>3309</v>
      </c>
      <c r="P362" s="43"/>
      <c r="R362" s="41">
        <f t="shared" si="48"/>
        <v>0</v>
      </c>
      <c r="S362" s="41">
        <f t="shared" si="49"/>
        <v>0</v>
      </c>
      <c r="T362" s="41">
        <f t="shared" si="50"/>
        <v>0</v>
      </c>
      <c r="U362" s="41"/>
      <c r="V362" s="44" t="str">
        <f>IF($P362="High",$S362,IF($P362="Mix",SUMIF('High_Low Voltage Mix Summary'!$B$10:$B$17,$B663,'High_Low Voltage Mix Summary'!$D$10:$D$17),""))</f>
        <v/>
      </c>
      <c r="W362" s="44" t="str">
        <f>IF($P362="Low",$S362,IF($P362="Mix",SUMIF('High_Low Voltage Mix Summary'!$B$10:$B$17,$B663,'High_Low Voltage Mix Summary'!$E$10:$E$17),""))</f>
        <v/>
      </c>
      <c r="X362" s="44" t="str">
        <f>IF($P362="High",$T362,IF($P362="Mix",SUMIF('High_Low Voltage Mix Summary'!$B$10:$B$17,$B663,'High_Low Voltage Mix Summary'!$F$10:$F$17),""))</f>
        <v/>
      </c>
      <c r="Y362" s="44" t="str">
        <f>IF($P362="Low",$T362,IF($P362="Mix",SUMIF('High_Low Voltage Mix Summary'!$B$10:$B$17,$B663,'High_Low Voltage Mix Summary'!$G$10:$G$17),""))</f>
        <v/>
      </c>
      <c r="Z362" s="44" t="str">
        <f>IF(OR($P362="High",$P362="Low"),"",IF($P362="Mix",SUMIF('High_Low Voltage Mix Summary'!$B$10:$B$17,$B663,'High_Low Voltage Mix Summary'!$H$10:$H$17),""))</f>
        <v/>
      </c>
      <c r="AB362" s="49">
        <f>SUMIF('Antelope Bailey Split BA'!$B$7:$B$29,B362,'Antelope Bailey Split BA'!$C$7:$C$29)</f>
        <v>0</v>
      </c>
      <c r="AC362" s="49" t="str">
        <f>IF(AND(AB362=1,'Plant Total by Account'!$H$1=2),"EKWRA","")</f>
        <v/>
      </c>
    </row>
    <row r="363" spans="1:29" x14ac:dyDescent="0.2">
      <c r="A363" s="39" t="s">
        <v>2894</v>
      </c>
      <c r="B363" s="45" t="s">
        <v>465</v>
      </c>
      <c r="C363" s="40" t="s">
        <v>3334</v>
      </c>
      <c r="D363" s="53">
        <v>18795.05</v>
      </c>
      <c r="E363" s="53">
        <v>92488.63</v>
      </c>
      <c r="F363" s="53">
        <v>1706532.7499999993</v>
      </c>
      <c r="G363" s="578">
        <f t="shared" si="51"/>
        <v>1817816.4299999992</v>
      </c>
      <c r="H363" s="41"/>
      <c r="I363" s="41"/>
      <c r="J363" s="41"/>
      <c r="K363" s="41">
        <f t="shared" si="53"/>
        <v>18795.05</v>
      </c>
      <c r="L363" s="41">
        <f t="shared" si="54"/>
        <v>92488.63</v>
      </c>
      <c r="M363" s="41">
        <f t="shared" si="55"/>
        <v>1706532.7499999993</v>
      </c>
      <c r="N363" s="363">
        <f t="shared" si="52"/>
        <v>0</v>
      </c>
      <c r="O363" s="43" t="s">
        <v>3309</v>
      </c>
      <c r="P363" s="43"/>
      <c r="R363" s="41">
        <f t="shared" si="48"/>
        <v>0</v>
      </c>
      <c r="S363" s="41">
        <f t="shared" si="49"/>
        <v>0</v>
      </c>
      <c r="T363" s="41">
        <f t="shared" si="50"/>
        <v>0</v>
      </c>
      <c r="U363" s="41"/>
      <c r="V363" s="44" t="str">
        <f>IF($P363="High",$S363,IF($P363="Mix",SUMIF('High_Low Voltage Mix Summary'!$B$10:$B$17,$B254,'High_Low Voltage Mix Summary'!$D$10:$D$17),""))</f>
        <v/>
      </c>
      <c r="W363" s="44" t="str">
        <f>IF($P363="Low",$S363,IF($P363="Mix",SUMIF('High_Low Voltage Mix Summary'!$B$10:$B$17,$B254,'High_Low Voltage Mix Summary'!$E$10:$E$17),""))</f>
        <v/>
      </c>
      <c r="X363" s="44" t="str">
        <f>IF($P363="High",$T363,IF($P363="Mix",SUMIF('High_Low Voltage Mix Summary'!$B$10:$B$17,$B254,'High_Low Voltage Mix Summary'!$F$10:$F$17),""))</f>
        <v/>
      </c>
      <c r="Y363" s="44" t="str">
        <f>IF($P363="Low",$T363,IF($P363="Mix",SUMIF('High_Low Voltage Mix Summary'!$B$10:$B$17,$B254,'High_Low Voltage Mix Summary'!$G$10:$G$17),""))</f>
        <v/>
      </c>
      <c r="Z363" s="44" t="str">
        <f>IF(OR($P363="High",$P363="Low"),"",IF($P363="Mix",SUMIF('High_Low Voltage Mix Summary'!$B$10:$B$17,$B254,'High_Low Voltage Mix Summary'!$H$10:$H$17),""))</f>
        <v/>
      </c>
      <c r="AB363" s="49">
        <f>SUMIF('Antelope Bailey Split BA'!$B$7:$B$29,B363,'Antelope Bailey Split BA'!$C$7:$C$29)</f>
        <v>0</v>
      </c>
      <c r="AC363" s="49" t="str">
        <f>IF(AND(AB363=1,'Plant Total by Account'!$H$1=2),"EKWRA","")</f>
        <v/>
      </c>
    </row>
    <row r="364" spans="1:29" ht="12.75" customHeight="1" x14ac:dyDescent="0.2">
      <c r="A364" s="39" t="s">
        <v>2895</v>
      </c>
      <c r="B364" s="45" t="s">
        <v>466</v>
      </c>
      <c r="C364" s="40" t="s">
        <v>3333</v>
      </c>
      <c r="D364" s="53">
        <v>7735.3</v>
      </c>
      <c r="E364" s="53">
        <v>66117.040000000008</v>
      </c>
      <c r="F364" s="53">
        <v>1421238.6600000006</v>
      </c>
      <c r="G364" s="578">
        <f t="shared" si="51"/>
        <v>1495091.0000000007</v>
      </c>
      <c r="H364" s="41"/>
      <c r="I364" s="41"/>
      <c r="J364" s="41"/>
      <c r="K364" s="41">
        <f t="shared" si="53"/>
        <v>7735.3</v>
      </c>
      <c r="L364" s="41">
        <f t="shared" si="54"/>
        <v>66117.040000000008</v>
      </c>
      <c r="M364" s="41">
        <f t="shared" si="55"/>
        <v>1421238.6600000006</v>
      </c>
      <c r="N364" s="363">
        <f t="shared" si="52"/>
        <v>0</v>
      </c>
      <c r="O364" s="43" t="s">
        <v>3309</v>
      </c>
      <c r="P364" s="43"/>
      <c r="R364" s="41">
        <f t="shared" si="48"/>
        <v>0</v>
      </c>
      <c r="S364" s="41">
        <f t="shared" si="49"/>
        <v>0</v>
      </c>
      <c r="T364" s="41">
        <f t="shared" si="50"/>
        <v>0</v>
      </c>
      <c r="U364" s="41"/>
      <c r="V364" s="44" t="str">
        <f>IF($P364="High",$S364,IF($P364="Mix",SUMIF('High_Low Voltage Mix Summary'!$B$10:$B$17,$B256,'High_Low Voltage Mix Summary'!$D$10:$D$17),""))</f>
        <v/>
      </c>
      <c r="W364" s="44" t="str">
        <f>IF($P364="Low",$S364,IF($P364="Mix",SUMIF('High_Low Voltage Mix Summary'!$B$10:$B$17,$B256,'High_Low Voltage Mix Summary'!$E$10:$E$17),""))</f>
        <v/>
      </c>
      <c r="X364" s="44" t="str">
        <f>IF($P364="High",$T364,IF($P364="Mix",SUMIF('High_Low Voltage Mix Summary'!$B$10:$B$17,$B256,'High_Low Voltage Mix Summary'!$F$10:$F$17),""))</f>
        <v/>
      </c>
      <c r="Y364" s="44" t="str">
        <f>IF($P364="Low",$T364,IF($P364="Mix",SUMIF('High_Low Voltage Mix Summary'!$B$10:$B$17,$B256,'High_Low Voltage Mix Summary'!$G$10:$G$17),""))</f>
        <v/>
      </c>
      <c r="Z364" s="44" t="str">
        <f>IF(OR($P364="High",$P364="Low"),"",IF($P364="Mix",SUMIF('High_Low Voltage Mix Summary'!$B$10:$B$17,$B256,'High_Low Voltage Mix Summary'!$H$10:$H$17),""))</f>
        <v/>
      </c>
      <c r="AB364" s="49">
        <f>SUMIF('Antelope Bailey Split BA'!$B$7:$B$29,B364,'Antelope Bailey Split BA'!$C$7:$C$29)</f>
        <v>0</v>
      </c>
      <c r="AC364" s="49" t="str">
        <f>IF(AND(AB364=1,'Plant Total by Account'!$H$1=2),"EKWRA","")</f>
        <v/>
      </c>
    </row>
    <row r="365" spans="1:29" x14ac:dyDescent="0.2">
      <c r="A365" s="39" t="s">
        <v>2896</v>
      </c>
      <c r="B365" s="45" t="s">
        <v>467</v>
      </c>
      <c r="C365" s="40" t="s">
        <v>3333</v>
      </c>
      <c r="D365" s="53">
        <v>1727.47</v>
      </c>
      <c r="E365" s="53">
        <v>28038.460000000003</v>
      </c>
      <c r="F365" s="53">
        <v>1149476.2800000003</v>
      </c>
      <c r="G365" s="578">
        <f t="shared" si="51"/>
        <v>1179242.2100000002</v>
      </c>
      <c r="H365" s="41"/>
      <c r="I365" s="41"/>
      <c r="J365" s="41"/>
      <c r="K365" s="41">
        <f t="shared" si="53"/>
        <v>1727.47</v>
      </c>
      <c r="L365" s="41">
        <f t="shared" si="54"/>
        <v>28038.460000000003</v>
      </c>
      <c r="M365" s="41">
        <f t="shared" si="55"/>
        <v>1149476.2800000003</v>
      </c>
      <c r="N365" s="363">
        <f t="shared" si="52"/>
        <v>0</v>
      </c>
      <c r="O365" s="43" t="s">
        <v>3309</v>
      </c>
      <c r="P365" s="43"/>
      <c r="R365" s="41">
        <f t="shared" si="48"/>
        <v>0</v>
      </c>
      <c r="S365" s="41">
        <f t="shared" si="49"/>
        <v>0</v>
      </c>
      <c r="T365" s="41">
        <f t="shared" si="50"/>
        <v>0</v>
      </c>
      <c r="U365" s="41"/>
      <c r="V365" s="44" t="str">
        <f>IF($P365="High",$S365,IF($P365="Mix",SUMIF('High_Low Voltage Mix Summary'!$B$10:$B$17,$B664,'High_Low Voltage Mix Summary'!$D$10:$D$17),""))</f>
        <v/>
      </c>
      <c r="W365" s="44" t="str">
        <f>IF($P365="Low",$S365,IF($P365="Mix",SUMIF('High_Low Voltage Mix Summary'!$B$10:$B$17,$B664,'High_Low Voltage Mix Summary'!$E$10:$E$17),""))</f>
        <v/>
      </c>
      <c r="X365" s="44" t="str">
        <f>IF($P365="High",$T365,IF($P365="Mix",SUMIF('High_Low Voltage Mix Summary'!$B$10:$B$17,$B664,'High_Low Voltage Mix Summary'!$F$10:$F$17),""))</f>
        <v/>
      </c>
      <c r="Y365" s="44" t="str">
        <f>IF($P365="Low",$T365,IF($P365="Mix",SUMIF('High_Low Voltage Mix Summary'!$B$10:$B$17,$B664,'High_Low Voltage Mix Summary'!$G$10:$G$17),""))</f>
        <v/>
      </c>
      <c r="Z365" s="44" t="str">
        <f>IF(OR($P365="High",$P365="Low"),"",IF($P365="Mix",SUMIF('High_Low Voltage Mix Summary'!$B$10:$B$17,$B664,'High_Low Voltage Mix Summary'!$H$10:$H$17),""))</f>
        <v/>
      </c>
      <c r="AB365" s="49">
        <f>SUMIF('Antelope Bailey Split BA'!$B$7:$B$29,B365,'Antelope Bailey Split BA'!$C$7:$C$29)</f>
        <v>0</v>
      </c>
      <c r="AC365" s="49" t="str">
        <f>IF(AND(AB365=1,'Plant Total by Account'!$H$1=2),"EKWRA","")</f>
        <v/>
      </c>
    </row>
    <row r="366" spans="1:29" x14ac:dyDescent="0.2">
      <c r="A366" s="39" t="s">
        <v>2897</v>
      </c>
      <c r="B366" s="45" t="s">
        <v>468</v>
      </c>
      <c r="C366" s="40" t="s">
        <v>3333</v>
      </c>
      <c r="D366" s="53">
        <v>0</v>
      </c>
      <c r="E366" s="53">
        <v>13026.140000000001</v>
      </c>
      <c r="F366" s="53">
        <v>0</v>
      </c>
      <c r="G366" s="578">
        <f t="shared" si="51"/>
        <v>13026.140000000001</v>
      </c>
      <c r="H366" s="41"/>
      <c r="I366" s="41"/>
      <c r="J366" s="41"/>
      <c r="K366" s="41">
        <f t="shared" si="53"/>
        <v>0</v>
      </c>
      <c r="L366" s="41">
        <f t="shared" si="54"/>
        <v>13026.140000000001</v>
      </c>
      <c r="M366" s="41">
        <f t="shared" si="55"/>
        <v>0</v>
      </c>
      <c r="N366" s="363">
        <f t="shared" si="52"/>
        <v>0</v>
      </c>
      <c r="O366" s="43" t="s">
        <v>3309</v>
      </c>
      <c r="P366" s="43"/>
      <c r="R366" s="41">
        <f t="shared" si="48"/>
        <v>0</v>
      </c>
      <c r="S366" s="41">
        <f t="shared" si="49"/>
        <v>0</v>
      </c>
      <c r="T366" s="41">
        <f t="shared" si="50"/>
        <v>0</v>
      </c>
      <c r="U366" s="41"/>
      <c r="V366" s="44" t="str">
        <f>IF($P366="High",$S366,IF($P366="Mix",SUMIF('High_Low Voltage Mix Summary'!$B$10:$B$17,$B665,'High_Low Voltage Mix Summary'!$D$10:$D$17),""))</f>
        <v/>
      </c>
      <c r="W366" s="44" t="str">
        <f>IF($P366="Low",$S366,IF($P366="Mix",SUMIF('High_Low Voltage Mix Summary'!$B$10:$B$17,$B665,'High_Low Voltage Mix Summary'!$E$10:$E$17),""))</f>
        <v/>
      </c>
      <c r="X366" s="44" t="str">
        <f>IF($P366="High",$T366,IF($P366="Mix",SUMIF('High_Low Voltage Mix Summary'!$B$10:$B$17,$B665,'High_Low Voltage Mix Summary'!$F$10:$F$17),""))</f>
        <v/>
      </c>
      <c r="Y366" s="44" t="str">
        <f>IF($P366="Low",$T366,IF($P366="Mix",SUMIF('High_Low Voltage Mix Summary'!$B$10:$B$17,$B665,'High_Low Voltage Mix Summary'!$G$10:$G$17),""))</f>
        <v/>
      </c>
      <c r="Z366" s="44" t="str">
        <f>IF(OR($P366="High",$P366="Low"),"",IF($P366="Mix",SUMIF('High_Low Voltage Mix Summary'!$B$10:$B$17,$B665,'High_Low Voltage Mix Summary'!$H$10:$H$17),""))</f>
        <v/>
      </c>
      <c r="AB366" s="49">
        <f>SUMIF('Antelope Bailey Split BA'!$B$7:$B$29,B366,'Antelope Bailey Split BA'!$C$7:$C$29)</f>
        <v>0</v>
      </c>
      <c r="AC366" s="49" t="str">
        <f>IF(AND(AB366=1,'Plant Total by Account'!$H$1=2),"EKWRA","")</f>
        <v/>
      </c>
    </row>
    <row r="367" spans="1:29" ht="12.75" customHeight="1" x14ac:dyDescent="0.2">
      <c r="A367" s="39" t="s">
        <v>2432</v>
      </c>
      <c r="B367" s="45" t="s">
        <v>469</v>
      </c>
      <c r="C367" s="40" t="s">
        <v>3334</v>
      </c>
      <c r="D367" s="53">
        <v>959.21</v>
      </c>
      <c r="E367" s="53">
        <v>18768.36</v>
      </c>
      <c r="F367" s="53">
        <v>751032.67000000016</v>
      </c>
      <c r="G367" s="578">
        <f t="shared" si="51"/>
        <v>770760.24000000011</v>
      </c>
      <c r="H367" s="173"/>
      <c r="I367" s="173"/>
      <c r="J367" s="173"/>
      <c r="K367" s="173">
        <f t="shared" si="53"/>
        <v>959.21</v>
      </c>
      <c r="L367" s="173">
        <f t="shared" si="54"/>
        <v>18768.36</v>
      </c>
      <c r="M367" s="173">
        <f t="shared" si="55"/>
        <v>751032.67000000016</v>
      </c>
      <c r="N367" s="363">
        <f t="shared" si="52"/>
        <v>0</v>
      </c>
      <c r="O367" s="43" t="s">
        <v>3309</v>
      </c>
      <c r="P367" s="43"/>
      <c r="R367" s="41">
        <f t="shared" si="48"/>
        <v>0</v>
      </c>
      <c r="S367" s="41">
        <f t="shared" si="49"/>
        <v>0</v>
      </c>
      <c r="T367" s="41">
        <f t="shared" si="50"/>
        <v>0</v>
      </c>
      <c r="U367" s="41"/>
      <c r="V367" s="44" t="str">
        <f>IF($P367="High",$S367,IF($P367="Mix",SUMIF('High_Low Voltage Mix Summary'!$B$10:$B$17,$B1126,'High_Low Voltage Mix Summary'!$D$10:$D$17),""))</f>
        <v/>
      </c>
      <c r="W367" s="44" t="str">
        <f>IF($P367="Low",$S367,IF($P367="Mix",SUMIF('High_Low Voltage Mix Summary'!$B$10:$B$17,$B1126,'High_Low Voltage Mix Summary'!$E$10:$E$17),""))</f>
        <v/>
      </c>
      <c r="X367" s="44" t="str">
        <f>IF($P367="High",$T367,IF($P367="Mix",SUMIF('High_Low Voltage Mix Summary'!$B$10:$B$17,$B1126,'High_Low Voltage Mix Summary'!$F$10:$F$17),""))</f>
        <v/>
      </c>
      <c r="Y367" s="44" t="str">
        <f>IF($P367="Low",$T367,IF($P367="Mix",SUMIF('High_Low Voltage Mix Summary'!$B$10:$B$17,$B1126,'High_Low Voltage Mix Summary'!$G$10:$G$17),""))</f>
        <v/>
      </c>
      <c r="Z367" s="44" t="str">
        <f>IF(OR($P367="High",$P367="Low"),"",IF($P367="Mix",SUMIF('High_Low Voltage Mix Summary'!$B$10:$B$17,$B1126,'High_Low Voltage Mix Summary'!$H$10:$H$17),""))</f>
        <v/>
      </c>
      <c r="AB367" s="49">
        <f>SUMIF('Antelope Bailey Split BA'!$B$7:$B$29,B367,'Antelope Bailey Split BA'!$C$7:$C$29)</f>
        <v>1</v>
      </c>
      <c r="AC367" s="49" t="str">
        <f>IF(AND(AB367=1,'Plant Total by Account'!$H$1=2),"EKWRA","")</f>
        <v>EKWRA</v>
      </c>
    </row>
    <row r="368" spans="1:29" x14ac:dyDescent="0.2">
      <c r="A368" s="39" t="s">
        <v>2898</v>
      </c>
      <c r="B368" s="45" t="s">
        <v>470</v>
      </c>
      <c r="C368" s="40" t="s">
        <v>3334</v>
      </c>
      <c r="D368" s="53">
        <v>36966.57</v>
      </c>
      <c r="E368" s="53">
        <v>307367</v>
      </c>
      <c r="F368" s="53">
        <v>5135369.6699999953</v>
      </c>
      <c r="G368" s="578">
        <f t="shared" si="51"/>
        <v>5479703.2399999956</v>
      </c>
      <c r="H368" s="41"/>
      <c r="I368" s="41"/>
      <c r="J368" s="41"/>
      <c r="K368" s="41">
        <f t="shared" si="53"/>
        <v>36966.57</v>
      </c>
      <c r="L368" s="41">
        <f t="shared" si="54"/>
        <v>307367</v>
      </c>
      <c r="M368" s="41">
        <f t="shared" si="55"/>
        <v>5135369.6699999953</v>
      </c>
      <c r="N368" s="363">
        <f t="shared" si="52"/>
        <v>0</v>
      </c>
      <c r="O368" s="43" t="s">
        <v>3309</v>
      </c>
      <c r="P368" s="43"/>
      <c r="R368" s="41">
        <f t="shared" si="48"/>
        <v>0</v>
      </c>
      <c r="S368" s="41">
        <f t="shared" si="49"/>
        <v>0</v>
      </c>
      <c r="T368" s="41">
        <f t="shared" si="50"/>
        <v>0</v>
      </c>
      <c r="U368" s="41"/>
      <c r="V368" s="44" t="str">
        <f>IF($P368="High",$S368,IF($P368="Mix",SUMIF('High_Low Voltage Mix Summary'!$B$10:$B$17,$B583,'High_Low Voltage Mix Summary'!$D$10:$D$17),""))</f>
        <v/>
      </c>
      <c r="W368" s="44" t="str">
        <f>IF($P368="Low",$S368,IF($P368="Mix",SUMIF('High_Low Voltage Mix Summary'!$B$10:$B$17,$B583,'High_Low Voltage Mix Summary'!$E$10:$E$17),""))</f>
        <v/>
      </c>
      <c r="X368" s="44" t="str">
        <f>IF($P368="High",$T368,IF($P368="Mix",SUMIF('High_Low Voltage Mix Summary'!$B$10:$B$17,$B583,'High_Low Voltage Mix Summary'!$F$10:$F$17),""))</f>
        <v/>
      </c>
      <c r="Y368" s="44" t="str">
        <f>IF($P368="Low",$T368,IF($P368="Mix",SUMIF('High_Low Voltage Mix Summary'!$B$10:$B$17,$B583,'High_Low Voltage Mix Summary'!$G$10:$G$17),""))</f>
        <v/>
      </c>
      <c r="Z368" s="44" t="str">
        <f>IF(OR($P368="High",$P368="Low"),"",IF($P368="Mix",SUMIF('High_Low Voltage Mix Summary'!$B$10:$B$17,$B583,'High_Low Voltage Mix Summary'!$H$10:$H$17),""))</f>
        <v/>
      </c>
      <c r="AB368" s="49">
        <f>SUMIF('Antelope Bailey Split BA'!$B$7:$B$29,B368,'Antelope Bailey Split BA'!$C$7:$C$29)</f>
        <v>0</v>
      </c>
      <c r="AC368" s="49" t="str">
        <f>IF(AND(AB368=1,'Plant Total by Account'!$H$1=2),"EKWRA","")</f>
        <v/>
      </c>
    </row>
    <row r="369" spans="1:29" ht="12.75" customHeight="1" x14ac:dyDescent="0.2">
      <c r="A369" s="39" t="s">
        <v>2899</v>
      </c>
      <c r="B369" s="45" t="s">
        <v>471</v>
      </c>
      <c r="C369" s="40" t="s">
        <v>3334</v>
      </c>
      <c r="D369" s="53">
        <v>5325.34</v>
      </c>
      <c r="E369" s="53">
        <v>150192.97999999998</v>
      </c>
      <c r="F369" s="53">
        <v>7266166.799999997</v>
      </c>
      <c r="G369" s="578">
        <f t="shared" si="51"/>
        <v>7421685.1199999973</v>
      </c>
      <c r="H369" s="41"/>
      <c r="I369" s="41"/>
      <c r="J369" s="41"/>
      <c r="K369" s="41">
        <f t="shared" si="53"/>
        <v>5325.34</v>
      </c>
      <c r="L369" s="41">
        <f t="shared" si="54"/>
        <v>150192.97999999998</v>
      </c>
      <c r="M369" s="41">
        <f t="shared" si="55"/>
        <v>7266166.799999997</v>
      </c>
      <c r="N369" s="363">
        <f t="shared" si="52"/>
        <v>0</v>
      </c>
      <c r="O369" s="43" t="s">
        <v>3309</v>
      </c>
      <c r="P369" s="43"/>
      <c r="R369" s="41">
        <f t="shared" si="48"/>
        <v>0</v>
      </c>
      <c r="S369" s="41">
        <f t="shared" si="49"/>
        <v>0</v>
      </c>
      <c r="T369" s="41">
        <f t="shared" si="50"/>
        <v>0</v>
      </c>
      <c r="U369" s="41"/>
      <c r="V369" s="44" t="str">
        <f>IF($P369="High",$S369,IF($P369="Mix",SUMIF('High_Low Voltage Mix Summary'!$B$10:$B$17,$B256,'High_Low Voltage Mix Summary'!$D$10:$D$17),""))</f>
        <v/>
      </c>
      <c r="W369" s="44" t="str">
        <f>IF($P369="Low",$S369,IF($P369="Mix",SUMIF('High_Low Voltage Mix Summary'!$B$10:$B$17,$B256,'High_Low Voltage Mix Summary'!$E$10:$E$17),""))</f>
        <v/>
      </c>
      <c r="X369" s="44" t="str">
        <f>IF($P369="High",$T369,IF($P369="Mix",SUMIF('High_Low Voltage Mix Summary'!$B$10:$B$17,$B256,'High_Low Voltage Mix Summary'!$F$10:$F$17),""))</f>
        <v/>
      </c>
      <c r="Y369" s="44" t="str">
        <f>IF($P369="Low",$T369,IF($P369="Mix",SUMIF('High_Low Voltage Mix Summary'!$B$10:$B$17,$B256,'High_Low Voltage Mix Summary'!$G$10:$G$17),""))</f>
        <v/>
      </c>
      <c r="Z369" s="44" t="str">
        <f>IF(OR($P369="High",$P369="Low"),"",IF($P369="Mix",SUMIF('High_Low Voltage Mix Summary'!$B$10:$B$17,$B256,'High_Low Voltage Mix Summary'!$H$10:$H$17),""))</f>
        <v/>
      </c>
      <c r="AB369" s="49">
        <f>SUMIF('Antelope Bailey Split BA'!$B$7:$B$29,B369,'Antelope Bailey Split BA'!$C$7:$C$29)</f>
        <v>0</v>
      </c>
      <c r="AC369" s="49" t="str">
        <f>IF(AND(AB369=1,'Plant Total by Account'!$H$1=2),"EKWRA","")</f>
        <v/>
      </c>
    </row>
    <row r="370" spans="1:29" x14ac:dyDescent="0.2">
      <c r="A370" s="39" t="s">
        <v>2900</v>
      </c>
      <c r="B370" s="45" t="s">
        <v>472</v>
      </c>
      <c r="C370" s="40" t="s">
        <v>3334</v>
      </c>
      <c r="D370" s="53">
        <v>12556.380000000001</v>
      </c>
      <c r="E370" s="53">
        <v>661717.95000000007</v>
      </c>
      <c r="F370" s="53">
        <v>3021167.9800000009</v>
      </c>
      <c r="G370" s="578">
        <f t="shared" si="51"/>
        <v>3695442.310000001</v>
      </c>
      <c r="H370" s="41"/>
      <c r="I370" s="41"/>
      <c r="J370" s="41"/>
      <c r="K370" s="41">
        <f t="shared" si="53"/>
        <v>12556.380000000001</v>
      </c>
      <c r="L370" s="41">
        <f t="shared" si="54"/>
        <v>661717.95000000007</v>
      </c>
      <c r="M370" s="41">
        <f t="shared" si="55"/>
        <v>3021167.9800000009</v>
      </c>
      <c r="N370" s="363">
        <f t="shared" si="52"/>
        <v>0</v>
      </c>
      <c r="O370" s="43" t="s">
        <v>3309</v>
      </c>
      <c r="P370" s="43"/>
      <c r="R370" s="41">
        <f t="shared" si="48"/>
        <v>0</v>
      </c>
      <c r="S370" s="41">
        <f t="shared" si="49"/>
        <v>0</v>
      </c>
      <c r="T370" s="41">
        <f t="shared" si="50"/>
        <v>0</v>
      </c>
      <c r="U370" s="41"/>
      <c r="V370" s="44" t="str">
        <f>IF($P370="High",$S370,IF($P370="Mix",SUMIF('High_Low Voltage Mix Summary'!$B$10:$B$17,$B257,'High_Low Voltage Mix Summary'!$D$10:$D$17),""))</f>
        <v/>
      </c>
      <c r="W370" s="44" t="str">
        <f>IF($P370="Low",$S370,IF($P370="Mix",SUMIF('High_Low Voltage Mix Summary'!$B$10:$B$17,$B257,'High_Low Voltage Mix Summary'!$E$10:$E$17),""))</f>
        <v/>
      </c>
      <c r="X370" s="44" t="str">
        <f>IF($P370="High",$T370,IF($P370="Mix",SUMIF('High_Low Voltage Mix Summary'!$B$10:$B$17,$B257,'High_Low Voltage Mix Summary'!$F$10:$F$17),""))</f>
        <v/>
      </c>
      <c r="Y370" s="44" t="str">
        <f>IF($P370="Low",$T370,IF($P370="Mix",SUMIF('High_Low Voltage Mix Summary'!$B$10:$B$17,$B257,'High_Low Voltage Mix Summary'!$G$10:$G$17),""))</f>
        <v/>
      </c>
      <c r="Z370" s="44" t="str">
        <f>IF(OR($P370="High",$P370="Low"),"",IF($P370="Mix",SUMIF('High_Low Voltage Mix Summary'!$B$10:$B$17,$B257,'High_Low Voltage Mix Summary'!$H$10:$H$17),""))</f>
        <v/>
      </c>
      <c r="AB370" s="49">
        <f>SUMIF('Antelope Bailey Split BA'!$B$7:$B$29,B370,'Antelope Bailey Split BA'!$C$7:$C$29)</f>
        <v>0</v>
      </c>
      <c r="AC370" s="49" t="str">
        <f>IF(AND(AB370=1,'Plant Total by Account'!$H$1=2),"EKWRA","")</f>
        <v/>
      </c>
    </row>
    <row r="371" spans="1:29" x14ac:dyDescent="0.2">
      <c r="A371" s="39" t="s">
        <v>2901</v>
      </c>
      <c r="B371" s="45" t="s">
        <v>473</v>
      </c>
      <c r="C371" s="40" t="s">
        <v>3334</v>
      </c>
      <c r="D371" s="53">
        <v>10253.02</v>
      </c>
      <c r="E371" s="53">
        <v>25441.000000000004</v>
      </c>
      <c r="F371" s="53">
        <v>1656380.0100000005</v>
      </c>
      <c r="G371" s="578">
        <f t="shared" si="51"/>
        <v>1692074.0300000005</v>
      </c>
      <c r="H371" s="41"/>
      <c r="I371" s="41"/>
      <c r="J371" s="41"/>
      <c r="K371" s="41">
        <f t="shared" si="53"/>
        <v>10253.02</v>
      </c>
      <c r="L371" s="41">
        <f t="shared" si="54"/>
        <v>25441.000000000004</v>
      </c>
      <c r="M371" s="41">
        <f t="shared" si="55"/>
        <v>1656380.0100000005</v>
      </c>
      <c r="N371" s="363">
        <f t="shared" si="52"/>
        <v>0</v>
      </c>
      <c r="O371" s="43" t="s">
        <v>3309</v>
      </c>
      <c r="P371" s="43"/>
      <c r="R371" s="41">
        <f t="shared" si="48"/>
        <v>0</v>
      </c>
      <c r="S371" s="41">
        <f t="shared" si="49"/>
        <v>0</v>
      </c>
      <c r="T371" s="41">
        <f t="shared" si="50"/>
        <v>0</v>
      </c>
      <c r="U371" s="41"/>
      <c r="V371" s="44" t="str">
        <f>IF($P371="High",$S371,IF($P371="Mix",SUMIF('High_Low Voltage Mix Summary'!$B$10:$B$17,$B258,'High_Low Voltage Mix Summary'!$D$10:$D$17),""))</f>
        <v/>
      </c>
      <c r="W371" s="44" t="str">
        <f>IF($P371="Low",$S371,IF($P371="Mix",SUMIF('High_Low Voltage Mix Summary'!$B$10:$B$17,$B258,'High_Low Voltage Mix Summary'!$E$10:$E$17),""))</f>
        <v/>
      </c>
      <c r="X371" s="44" t="str">
        <f>IF($P371="High",$T371,IF($P371="Mix",SUMIF('High_Low Voltage Mix Summary'!$B$10:$B$17,$B258,'High_Low Voltage Mix Summary'!$F$10:$F$17),""))</f>
        <v/>
      </c>
      <c r="Y371" s="44" t="str">
        <f>IF($P371="Low",$T371,IF($P371="Mix",SUMIF('High_Low Voltage Mix Summary'!$B$10:$B$17,$B258,'High_Low Voltage Mix Summary'!$G$10:$G$17),""))</f>
        <v/>
      </c>
      <c r="Z371" s="44" t="str">
        <f>IF(OR($P371="High",$P371="Low"),"",IF($P371="Mix",SUMIF('High_Low Voltage Mix Summary'!$B$10:$B$17,$B258,'High_Low Voltage Mix Summary'!$H$10:$H$17),""))</f>
        <v/>
      </c>
      <c r="AB371" s="49">
        <f>SUMIF('Antelope Bailey Split BA'!$B$7:$B$29,B371,'Antelope Bailey Split BA'!$C$7:$C$29)</f>
        <v>0</v>
      </c>
      <c r="AC371" s="49" t="str">
        <f>IF(AND(AB371=1,'Plant Total by Account'!$H$1=2),"EKWRA","")</f>
        <v/>
      </c>
    </row>
    <row r="372" spans="1:29" x14ac:dyDescent="0.2">
      <c r="A372" s="39" t="s">
        <v>2902</v>
      </c>
      <c r="B372" s="45" t="s">
        <v>474</v>
      </c>
      <c r="C372" s="40" t="s">
        <v>3334</v>
      </c>
      <c r="D372" s="53">
        <v>2601.87</v>
      </c>
      <c r="E372" s="53">
        <v>28000.959999999999</v>
      </c>
      <c r="F372" s="53">
        <v>1356666.56</v>
      </c>
      <c r="G372" s="578">
        <f t="shared" si="51"/>
        <v>1387269.3900000001</v>
      </c>
      <c r="H372" s="41"/>
      <c r="I372" s="41"/>
      <c r="J372" s="41"/>
      <c r="K372" s="41">
        <f t="shared" si="53"/>
        <v>2601.87</v>
      </c>
      <c r="L372" s="41">
        <f t="shared" si="54"/>
        <v>28000.959999999999</v>
      </c>
      <c r="M372" s="41">
        <f t="shared" si="55"/>
        <v>1356666.56</v>
      </c>
      <c r="N372" s="363">
        <f t="shared" si="52"/>
        <v>0</v>
      </c>
      <c r="O372" s="43" t="s">
        <v>3309</v>
      </c>
      <c r="P372" s="43"/>
      <c r="R372" s="41">
        <f t="shared" si="48"/>
        <v>0</v>
      </c>
      <c r="S372" s="41">
        <f t="shared" si="49"/>
        <v>0</v>
      </c>
      <c r="T372" s="41">
        <f t="shared" si="50"/>
        <v>0</v>
      </c>
      <c r="U372" s="41"/>
      <c r="V372" s="44" t="str">
        <f>IF($P372="High",$S372,IF($P372="Mix",SUMIF('High_Low Voltage Mix Summary'!$B$10:$B$17,$B259,'High_Low Voltage Mix Summary'!$D$10:$D$17),""))</f>
        <v/>
      </c>
      <c r="W372" s="44" t="str">
        <f>IF($P372="Low",$S372,IF($P372="Mix",SUMIF('High_Low Voltage Mix Summary'!$B$10:$B$17,$B259,'High_Low Voltage Mix Summary'!$E$10:$E$17),""))</f>
        <v/>
      </c>
      <c r="X372" s="44" t="str">
        <f>IF($P372="High",$T372,IF($P372="Mix",SUMIF('High_Low Voltage Mix Summary'!$B$10:$B$17,$B259,'High_Low Voltage Mix Summary'!$F$10:$F$17),""))</f>
        <v/>
      </c>
      <c r="Y372" s="44" t="str">
        <f>IF($P372="Low",$T372,IF($P372="Mix",SUMIF('High_Low Voltage Mix Summary'!$B$10:$B$17,$B259,'High_Low Voltage Mix Summary'!$G$10:$G$17),""))</f>
        <v/>
      </c>
      <c r="Z372" s="44" t="str">
        <f>IF(OR($P372="High",$P372="Low"),"",IF($P372="Mix",SUMIF('High_Low Voltage Mix Summary'!$B$10:$B$17,$B259,'High_Low Voltage Mix Summary'!$H$10:$H$17),""))</f>
        <v/>
      </c>
      <c r="AB372" s="49">
        <f>SUMIF('Antelope Bailey Split BA'!$B$7:$B$29,B372,'Antelope Bailey Split BA'!$C$7:$C$29)</f>
        <v>0</v>
      </c>
      <c r="AC372" s="49" t="str">
        <f>IF(AND(AB372=1,'Plant Total by Account'!$H$1=2),"EKWRA","")</f>
        <v/>
      </c>
    </row>
    <row r="373" spans="1:29" x14ac:dyDescent="0.2">
      <c r="A373" s="39" t="s">
        <v>2903</v>
      </c>
      <c r="B373" s="45" t="s">
        <v>475</v>
      </c>
      <c r="C373" s="40" t="s">
        <v>3333</v>
      </c>
      <c r="D373" s="53">
        <v>3098.98</v>
      </c>
      <c r="E373" s="53">
        <v>83512.850000000006</v>
      </c>
      <c r="F373" s="53">
        <v>966112.23999999976</v>
      </c>
      <c r="G373" s="578">
        <f t="shared" si="51"/>
        <v>1052724.0699999998</v>
      </c>
      <c r="H373" s="41"/>
      <c r="I373" s="41"/>
      <c r="J373" s="41"/>
      <c r="K373" s="41">
        <f t="shared" si="53"/>
        <v>3098.98</v>
      </c>
      <c r="L373" s="41">
        <f t="shared" si="54"/>
        <v>83512.850000000006</v>
      </c>
      <c r="M373" s="41">
        <f t="shared" si="55"/>
        <v>966112.23999999976</v>
      </c>
      <c r="N373" s="363">
        <f t="shared" si="52"/>
        <v>0</v>
      </c>
      <c r="O373" s="43" t="s">
        <v>3309</v>
      </c>
      <c r="P373" s="43"/>
      <c r="R373" s="41">
        <f t="shared" si="48"/>
        <v>0</v>
      </c>
      <c r="S373" s="41">
        <f t="shared" si="49"/>
        <v>0</v>
      </c>
      <c r="T373" s="41">
        <f t="shared" si="50"/>
        <v>0</v>
      </c>
      <c r="U373" s="41"/>
      <c r="V373" s="44" t="str">
        <f>IF($P373="High",$S373,IF($P373="Mix",SUMIF('High_Low Voltage Mix Summary'!$B$10:$B$17,$B260,'High_Low Voltage Mix Summary'!$D$10:$D$17),""))</f>
        <v/>
      </c>
      <c r="W373" s="44" t="str">
        <f>IF($P373="Low",$S373,IF($P373="Mix",SUMIF('High_Low Voltage Mix Summary'!$B$10:$B$17,$B260,'High_Low Voltage Mix Summary'!$E$10:$E$17),""))</f>
        <v/>
      </c>
      <c r="X373" s="44" t="str">
        <f>IF($P373="High",$T373,IF($P373="Mix",SUMIF('High_Low Voltage Mix Summary'!$B$10:$B$17,$B260,'High_Low Voltage Mix Summary'!$F$10:$F$17),""))</f>
        <v/>
      </c>
      <c r="Y373" s="44" t="str">
        <f>IF($P373="Low",$T373,IF($P373="Mix",SUMIF('High_Low Voltage Mix Summary'!$B$10:$B$17,$B260,'High_Low Voltage Mix Summary'!$G$10:$G$17),""))</f>
        <v/>
      </c>
      <c r="Z373" s="44" t="str">
        <f>IF(OR($P373="High",$P373="Low"),"",IF($P373="Mix",SUMIF('High_Low Voltage Mix Summary'!$B$10:$B$17,$B260,'High_Low Voltage Mix Summary'!$H$10:$H$17),""))</f>
        <v/>
      </c>
      <c r="AB373" s="49">
        <f>SUMIF('Antelope Bailey Split BA'!$B$7:$B$29,B373,'Antelope Bailey Split BA'!$C$7:$C$29)</f>
        <v>0</v>
      </c>
      <c r="AC373" s="49" t="str">
        <f>IF(AND(AB373=1,'Plant Total by Account'!$H$1=2),"EKWRA","")</f>
        <v/>
      </c>
    </row>
    <row r="374" spans="1:29" ht="12.75" customHeight="1" x14ac:dyDescent="0.2">
      <c r="A374" s="39" t="s">
        <v>2433</v>
      </c>
      <c r="B374" s="45" t="s">
        <v>477</v>
      </c>
      <c r="C374" s="40" t="s">
        <v>3334</v>
      </c>
      <c r="D374" s="53">
        <v>1087.8700000000001</v>
      </c>
      <c r="E374" s="53">
        <v>77814.950000000012</v>
      </c>
      <c r="F374" s="53">
        <v>2300493.5500000017</v>
      </c>
      <c r="G374" s="578">
        <f t="shared" si="51"/>
        <v>2379396.3700000015</v>
      </c>
      <c r="H374" s="173"/>
      <c r="I374" s="173"/>
      <c r="J374" s="173"/>
      <c r="K374" s="173">
        <f t="shared" si="53"/>
        <v>1087.8700000000001</v>
      </c>
      <c r="L374" s="173">
        <f t="shared" si="54"/>
        <v>77814.950000000012</v>
      </c>
      <c r="M374" s="173">
        <f t="shared" si="55"/>
        <v>2300493.5500000017</v>
      </c>
      <c r="N374" s="363">
        <f t="shared" si="52"/>
        <v>0</v>
      </c>
      <c r="O374" s="43" t="s">
        <v>3309</v>
      </c>
      <c r="P374" s="43"/>
      <c r="R374" s="41">
        <f t="shared" si="48"/>
        <v>0</v>
      </c>
      <c r="S374" s="41">
        <f t="shared" si="49"/>
        <v>0</v>
      </c>
      <c r="T374" s="41">
        <f t="shared" si="50"/>
        <v>0</v>
      </c>
      <c r="U374" s="41"/>
      <c r="V374" s="44" t="str">
        <f>IF($P374="High",$S374,IF($P374="Mix",SUMIF('High_Low Voltage Mix Summary'!$B$10:$B$17,$B1038,'High_Low Voltage Mix Summary'!$D$10:$D$17),""))</f>
        <v/>
      </c>
      <c r="W374" s="44" t="str">
        <f>IF($P374="Low",$S374,IF($P374="Mix",SUMIF('High_Low Voltage Mix Summary'!$B$10:$B$17,$B1038,'High_Low Voltage Mix Summary'!$E$10:$E$17),""))</f>
        <v/>
      </c>
      <c r="X374" s="44" t="str">
        <f>IF($P374="High",$T374,IF($P374="Mix",SUMIF('High_Low Voltage Mix Summary'!$B$10:$B$17,$B1038,'High_Low Voltage Mix Summary'!$F$10:$F$17),""))</f>
        <v/>
      </c>
      <c r="Y374" s="44" t="str">
        <f>IF($P374="Low",$T374,IF($P374="Mix",SUMIF('High_Low Voltage Mix Summary'!$B$10:$B$17,$B1038,'High_Low Voltage Mix Summary'!$G$10:$G$17),""))</f>
        <v/>
      </c>
      <c r="Z374" s="44" t="str">
        <f>IF(OR($P374="High",$P374="Low"),"",IF($P374="Mix",SUMIF('High_Low Voltage Mix Summary'!$B$10:$B$17,$B1038,'High_Low Voltage Mix Summary'!$H$10:$H$17),""))</f>
        <v/>
      </c>
      <c r="AB374" s="49">
        <f>SUMIF('Antelope Bailey Split BA'!$B$7:$B$29,B374,'Antelope Bailey Split BA'!$C$7:$C$29)</f>
        <v>1</v>
      </c>
      <c r="AC374" s="49" t="str">
        <f>IF(AND(AB374=1,'Plant Total by Account'!$H$1=2),"EKWRA","")</f>
        <v>EKWRA</v>
      </c>
    </row>
    <row r="375" spans="1:29" x14ac:dyDescent="0.2">
      <c r="A375" s="39" t="s">
        <v>2905</v>
      </c>
      <c r="B375" s="45" t="s">
        <v>478</v>
      </c>
      <c r="C375" s="40" t="s">
        <v>3334</v>
      </c>
      <c r="D375" s="53">
        <v>141650.35</v>
      </c>
      <c r="E375" s="53">
        <v>192518.17</v>
      </c>
      <c r="F375" s="53">
        <v>6058538.5900000054</v>
      </c>
      <c r="G375" s="578">
        <f t="shared" si="51"/>
        <v>6392707.110000005</v>
      </c>
      <c r="H375" s="41"/>
      <c r="I375" s="41"/>
      <c r="J375" s="41"/>
      <c r="K375" s="41">
        <f t="shared" si="53"/>
        <v>141650.35</v>
      </c>
      <c r="L375" s="41">
        <f t="shared" si="54"/>
        <v>192518.17</v>
      </c>
      <c r="M375" s="41">
        <f t="shared" si="55"/>
        <v>6058538.5900000054</v>
      </c>
      <c r="N375" s="363">
        <f t="shared" si="52"/>
        <v>0</v>
      </c>
      <c r="O375" s="43" t="s">
        <v>3309</v>
      </c>
      <c r="P375" s="43"/>
      <c r="R375" s="41">
        <f t="shared" si="48"/>
        <v>0</v>
      </c>
      <c r="S375" s="41">
        <f t="shared" si="49"/>
        <v>0</v>
      </c>
      <c r="T375" s="41">
        <f t="shared" si="50"/>
        <v>0</v>
      </c>
      <c r="U375" s="41"/>
      <c r="V375" s="44" t="str">
        <f>IF($P375="High",$S375,IF($P375="Mix",SUMIF('High_Low Voltage Mix Summary'!$B$10:$B$17,$B583,'High_Low Voltage Mix Summary'!$D$10:$D$17),""))</f>
        <v/>
      </c>
      <c r="W375" s="44" t="str">
        <f>IF($P375="Low",$S375,IF($P375="Mix",SUMIF('High_Low Voltage Mix Summary'!$B$10:$B$17,$B583,'High_Low Voltage Mix Summary'!$E$10:$E$17),""))</f>
        <v/>
      </c>
      <c r="X375" s="44" t="str">
        <f>IF($P375="High",$T375,IF($P375="Mix",SUMIF('High_Low Voltage Mix Summary'!$B$10:$B$17,$B583,'High_Low Voltage Mix Summary'!$F$10:$F$17),""))</f>
        <v/>
      </c>
      <c r="Y375" s="44" t="str">
        <f>IF($P375="Low",$T375,IF($P375="Mix",SUMIF('High_Low Voltage Mix Summary'!$B$10:$B$17,$B583,'High_Low Voltage Mix Summary'!$G$10:$G$17),""))</f>
        <v/>
      </c>
      <c r="Z375" s="44" t="str">
        <f>IF(OR($P375="High",$P375="Low"),"",IF($P375="Mix",SUMIF('High_Low Voltage Mix Summary'!$B$10:$B$17,$B583,'High_Low Voltage Mix Summary'!$H$10:$H$17),""))</f>
        <v/>
      </c>
      <c r="AB375" s="49">
        <f>SUMIF('Antelope Bailey Split BA'!$B$7:$B$29,B375,'Antelope Bailey Split BA'!$C$7:$C$29)</f>
        <v>0</v>
      </c>
      <c r="AC375" s="49" t="str">
        <f>IF(AND(AB375=1,'Plant Total by Account'!$H$1=2),"EKWRA","")</f>
        <v/>
      </c>
    </row>
    <row r="376" spans="1:29" x14ac:dyDescent="0.2">
      <c r="A376" s="39" t="s">
        <v>2906</v>
      </c>
      <c r="B376" s="45" t="s">
        <v>479</v>
      </c>
      <c r="C376" s="40" t="s">
        <v>3334</v>
      </c>
      <c r="D376" s="53">
        <v>0</v>
      </c>
      <c r="E376" s="53">
        <v>11659.79</v>
      </c>
      <c r="F376" s="53">
        <v>505486.74000000011</v>
      </c>
      <c r="G376" s="578">
        <f t="shared" si="51"/>
        <v>517146.53000000009</v>
      </c>
      <c r="H376" s="41"/>
      <c r="I376" s="41"/>
      <c r="J376" s="41"/>
      <c r="K376" s="41">
        <f t="shared" si="53"/>
        <v>0</v>
      </c>
      <c r="L376" s="41">
        <f t="shared" si="54"/>
        <v>11659.79</v>
      </c>
      <c r="M376" s="41">
        <f t="shared" si="55"/>
        <v>505486.74000000011</v>
      </c>
      <c r="N376" s="363">
        <f t="shared" si="52"/>
        <v>0</v>
      </c>
      <c r="O376" s="43" t="s">
        <v>3309</v>
      </c>
      <c r="P376" s="43"/>
      <c r="R376" s="41">
        <f t="shared" si="48"/>
        <v>0</v>
      </c>
      <c r="S376" s="41">
        <f t="shared" si="49"/>
        <v>0</v>
      </c>
      <c r="T376" s="41">
        <f t="shared" si="50"/>
        <v>0</v>
      </c>
      <c r="U376" s="41"/>
      <c r="V376" s="44" t="str">
        <f>IF($P376="High",$S376,IF($P376="Mix",SUMIF('High_Low Voltage Mix Summary'!$B$10:$B$17,$B259,'High_Low Voltage Mix Summary'!$D$10:$D$17),""))</f>
        <v/>
      </c>
      <c r="W376" s="44" t="str">
        <f>IF($P376="Low",$S376,IF($P376="Mix",SUMIF('High_Low Voltage Mix Summary'!$B$10:$B$17,$B259,'High_Low Voltage Mix Summary'!$E$10:$E$17),""))</f>
        <v/>
      </c>
      <c r="X376" s="44" t="str">
        <f>IF($P376="High",$T376,IF($P376="Mix",SUMIF('High_Low Voltage Mix Summary'!$B$10:$B$17,$B259,'High_Low Voltage Mix Summary'!$F$10:$F$17),""))</f>
        <v/>
      </c>
      <c r="Y376" s="44" t="str">
        <f>IF($P376="Low",$T376,IF($P376="Mix",SUMIF('High_Low Voltage Mix Summary'!$B$10:$B$17,$B259,'High_Low Voltage Mix Summary'!$G$10:$G$17),""))</f>
        <v/>
      </c>
      <c r="Z376" s="44" t="str">
        <f>IF(OR($P376="High",$P376="Low"),"",IF($P376="Mix",SUMIF('High_Low Voltage Mix Summary'!$B$10:$B$17,$B259,'High_Low Voltage Mix Summary'!$H$10:$H$17),""))</f>
        <v/>
      </c>
      <c r="AB376" s="49">
        <f>SUMIF('Antelope Bailey Split BA'!$B$7:$B$29,B376,'Antelope Bailey Split BA'!$C$7:$C$29)</f>
        <v>0</v>
      </c>
      <c r="AC376" s="49" t="str">
        <f>IF(AND(AB376=1,'Plant Total by Account'!$H$1=2),"EKWRA","")</f>
        <v/>
      </c>
    </row>
    <row r="377" spans="1:29" x14ac:dyDescent="0.2">
      <c r="A377" s="39" t="s">
        <v>2907</v>
      </c>
      <c r="B377" s="45" t="s">
        <v>480</v>
      </c>
      <c r="C377" s="40" t="s">
        <v>3333</v>
      </c>
      <c r="D377" s="53">
        <v>0</v>
      </c>
      <c r="E377" s="53">
        <v>17697.64</v>
      </c>
      <c r="F377" s="53">
        <v>52376.210000000006</v>
      </c>
      <c r="G377" s="578">
        <f t="shared" si="51"/>
        <v>70073.850000000006</v>
      </c>
      <c r="H377" s="41"/>
      <c r="I377" s="41"/>
      <c r="J377" s="41"/>
      <c r="K377" s="41">
        <f t="shared" si="53"/>
        <v>0</v>
      </c>
      <c r="L377" s="41">
        <f t="shared" si="54"/>
        <v>17697.64</v>
      </c>
      <c r="M377" s="41">
        <f t="shared" si="55"/>
        <v>52376.210000000006</v>
      </c>
      <c r="N377" s="363">
        <f t="shared" si="52"/>
        <v>0</v>
      </c>
      <c r="O377" s="43" t="s">
        <v>3309</v>
      </c>
      <c r="P377" s="43"/>
      <c r="R377" s="41">
        <f t="shared" si="48"/>
        <v>0</v>
      </c>
      <c r="S377" s="41">
        <f t="shared" si="49"/>
        <v>0</v>
      </c>
      <c r="T377" s="41">
        <f t="shared" si="50"/>
        <v>0</v>
      </c>
      <c r="U377" s="41"/>
      <c r="V377" s="44" t="str">
        <f>IF($P377="High",$S377,IF($P377="Mix",SUMIF('High_Low Voltage Mix Summary'!$B$10:$B$17,$B260,'High_Low Voltage Mix Summary'!$D$10:$D$17),""))</f>
        <v/>
      </c>
      <c r="W377" s="44" t="str">
        <f>IF($P377="Low",$S377,IF($P377="Mix",SUMIF('High_Low Voltage Mix Summary'!$B$10:$B$17,$B260,'High_Low Voltage Mix Summary'!$E$10:$E$17),""))</f>
        <v/>
      </c>
      <c r="X377" s="44" t="str">
        <f>IF($P377="High",$T377,IF($P377="Mix",SUMIF('High_Low Voltage Mix Summary'!$B$10:$B$17,$B260,'High_Low Voltage Mix Summary'!$F$10:$F$17),""))</f>
        <v/>
      </c>
      <c r="Y377" s="44" t="str">
        <f>IF($P377="Low",$T377,IF($P377="Mix",SUMIF('High_Low Voltage Mix Summary'!$B$10:$B$17,$B260,'High_Low Voltage Mix Summary'!$G$10:$G$17),""))</f>
        <v/>
      </c>
      <c r="Z377" s="44" t="str">
        <f>IF(OR($P377="High",$P377="Low"),"",IF($P377="Mix",SUMIF('High_Low Voltage Mix Summary'!$B$10:$B$17,$B260,'High_Low Voltage Mix Summary'!$H$10:$H$17),""))</f>
        <v/>
      </c>
      <c r="AB377" s="49">
        <f>SUMIF('Antelope Bailey Split BA'!$B$7:$B$29,B377,'Antelope Bailey Split BA'!$C$7:$C$29)</f>
        <v>0</v>
      </c>
      <c r="AC377" s="49" t="str">
        <f>IF(AND(AB377=1,'Plant Total by Account'!$H$1=2),"EKWRA","")</f>
        <v/>
      </c>
    </row>
    <row r="378" spans="1:29" ht="12.75" customHeight="1" x14ac:dyDescent="0.2">
      <c r="A378" s="39" t="s">
        <v>2434</v>
      </c>
      <c r="B378" s="45" t="s">
        <v>481</v>
      </c>
      <c r="C378" s="40" t="s">
        <v>3334</v>
      </c>
      <c r="D378" s="53">
        <v>3756.67</v>
      </c>
      <c r="E378" s="53">
        <v>55479.61</v>
      </c>
      <c r="F378" s="53">
        <v>619929.90000000014</v>
      </c>
      <c r="G378" s="578">
        <f t="shared" si="51"/>
        <v>679166.18000000017</v>
      </c>
      <c r="H378" s="173"/>
      <c r="I378" s="173"/>
      <c r="J378" s="173"/>
      <c r="K378" s="173">
        <f t="shared" si="53"/>
        <v>3756.67</v>
      </c>
      <c r="L378" s="173">
        <f t="shared" si="54"/>
        <v>55479.61</v>
      </c>
      <c r="M378" s="173">
        <f t="shared" si="55"/>
        <v>619929.90000000014</v>
      </c>
      <c r="N378" s="363">
        <f t="shared" si="52"/>
        <v>0</v>
      </c>
      <c r="O378" s="43" t="s">
        <v>3309</v>
      </c>
      <c r="P378" s="43"/>
      <c r="R378" s="41">
        <f t="shared" si="48"/>
        <v>0</v>
      </c>
      <c r="S378" s="41">
        <f t="shared" si="49"/>
        <v>0</v>
      </c>
      <c r="T378" s="41">
        <f t="shared" si="50"/>
        <v>0</v>
      </c>
      <c r="U378" s="41"/>
      <c r="V378" s="44" t="str">
        <f>IF($P378="High",$S378,IF($P378="Mix",SUMIF('High_Low Voltage Mix Summary'!$B$10:$B$17,$B1118,'High_Low Voltage Mix Summary'!$D$10:$D$17),""))</f>
        <v/>
      </c>
      <c r="W378" s="44" t="str">
        <f>IF($P378="Low",$S378,IF($P378="Mix",SUMIF('High_Low Voltage Mix Summary'!$B$10:$B$17,$B1118,'High_Low Voltage Mix Summary'!$E$10:$E$17),""))</f>
        <v/>
      </c>
      <c r="X378" s="44" t="str">
        <f>IF($P378="High",$T378,IF($P378="Mix",SUMIF('High_Low Voltage Mix Summary'!$B$10:$B$17,$B1118,'High_Low Voltage Mix Summary'!$F$10:$F$17),""))</f>
        <v/>
      </c>
      <c r="Y378" s="44" t="str">
        <f>IF($P378="Low",$T378,IF($P378="Mix",SUMIF('High_Low Voltage Mix Summary'!$B$10:$B$17,$B1118,'High_Low Voltage Mix Summary'!$G$10:$G$17),""))</f>
        <v/>
      </c>
      <c r="Z378" s="44" t="str">
        <f>IF(OR($P378="High",$P378="Low"),"",IF($P378="Mix",SUMIF('High_Low Voltage Mix Summary'!$B$10:$B$17,$B1118,'High_Low Voltage Mix Summary'!$H$10:$H$17),""))</f>
        <v/>
      </c>
      <c r="AB378" s="49">
        <f>SUMIF('Antelope Bailey Split BA'!$B$7:$B$29,B378,'Antelope Bailey Split BA'!$C$7:$C$29)</f>
        <v>1</v>
      </c>
      <c r="AC378" s="49" t="str">
        <f>IF(AND(AB378=1,'Plant Total by Account'!$H$1=2),"EKWRA","")</f>
        <v>EKWRA</v>
      </c>
    </row>
    <row r="379" spans="1:29" ht="12.75" customHeight="1" x14ac:dyDescent="0.2">
      <c r="A379" s="39" t="s">
        <v>2435</v>
      </c>
      <c r="B379" s="45" t="s">
        <v>482</v>
      </c>
      <c r="C379" s="40" t="s">
        <v>3334</v>
      </c>
      <c r="D379" s="53">
        <v>86331.28</v>
      </c>
      <c r="E379" s="53">
        <v>190256.34000000005</v>
      </c>
      <c r="F379" s="53">
        <v>7226823.5699999947</v>
      </c>
      <c r="G379" s="578">
        <f t="shared" si="51"/>
        <v>7503411.1899999948</v>
      </c>
      <c r="H379" s="41"/>
      <c r="I379" s="41"/>
      <c r="J379" s="41"/>
      <c r="K379" s="41">
        <f t="shared" si="53"/>
        <v>86331.28</v>
      </c>
      <c r="L379" s="41">
        <f t="shared" si="54"/>
        <v>190256.34000000005</v>
      </c>
      <c r="M379" s="41">
        <f t="shared" si="55"/>
        <v>7226823.5699999947</v>
      </c>
      <c r="N379" s="363">
        <f t="shared" si="52"/>
        <v>0</v>
      </c>
      <c r="O379" s="43" t="s">
        <v>3309</v>
      </c>
      <c r="P379" s="43"/>
      <c r="R379" s="41">
        <f t="shared" si="48"/>
        <v>0</v>
      </c>
      <c r="S379" s="41">
        <f t="shared" si="49"/>
        <v>0</v>
      </c>
      <c r="T379" s="41">
        <f t="shared" si="50"/>
        <v>0</v>
      </c>
      <c r="U379" s="41"/>
      <c r="V379" s="44" t="str">
        <f>IF($P379="High",$S379,IF($P379="Mix",SUMIF('High_Low Voltage Mix Summary'!$B$10:$B$17,$B579,'High_Low Voltage Mix Summary'!$D$10:$D$17),""))</f>
        <v/>
      </c>
      <c r="W379" s="44" t="str">
        <f>IF($P379="Low",$S379,IF($P379="Mix",SUMIF('High_Low Voltage Mix Summary'!$B$10:$B$17,$B579,'High_Low Voltage Mix Summary'!$E$10:$E$17),""))</f>
        <v/>
      </c>
      <c r="X379" s="44" t="str">
        <f>IF($P379="High",$T379,IF($P379="Mix",SUMIF('High_Low Voltage Mix Summary'!$B$10:$B$17,$B579,'High_Low Voltage Mix Summary'!$F$10:$F$17),""))</f>
        <v/>
      </c>
      <c r="Y379" s="44" t="str">
        <f>IF($P379="Low",$T379,IF($P379="Mix",SUMIF('High_Low Voltage Mix Summary'!$B$10:$B$17,$B579,'High_Low Voltage Mix Summary'!$G$10:$G$17),""))</f>
        <v/>
      </c>
      <c r="Z379" s="44" t="str">
        <f>IF(OR($P379="High",$P379="Low"),"",IF($P379="Mix",SUMIF('High_Low Voltage Mix Summary'!$B$10:$B$17,$B579,'High_Low Voltage Mix Summary'!$H$10:$H$17),""))</f>
        <v/>
      </c>
      <c r="AB379" s="49">
        <f>SUMIF('Antelope Bailey Split BA'!$B$7:$B$29,B379,'Antelope Bailey Split BA'!$C$7:$C$29)</f>
        <v>0</v>
      </c>
      <c r="AC379" s="49" t="str">
        <f>IF(AND(AB379=1,'Plant Total by Account'!$H$1=2),"EKWRA","")</f>
        <v/>
      </c>
    </row>
    <row r="380" spans="1:29" ht="12.75" customHeight="1" x14ac:dyDescent="0.2">
      <c r="A380" s="39" t="s">
        <v>2436</v>
      </c>
      <c r="B380" s="45" t="s">
        <v>484</v>
      </c>
      <c r="C380" s="40" t="s">
        <v>3334</v>
      </c>
      <c r="D380" s="53">
        <v>5187.7700000000004</v>
      </c>
      <c r="E380" s="53">
        <v>1523549.6300000001</v>
      </c>
      <c r="F380" s="53">
        <v>9254860.1899999995</v>
      </c>
      <c r="G380" s="578">
        <f t="shared" si="51"/>
        <v>10783597.59</v>
      </c>
      <c r="H380" s="173"/>
      <c r="I380" s="173"/>
      <c r="J380" s="173"/>
      <c r="K380" s="173">
        <f t="shared" si="53"/>
        <v>5187.7700000000004</v>
      </c>
      <c r="L380" s="173">
        <f t="shared" si="54"/>
        <v>1523549.6300000001</v>
      </c>
      <c r="M380" s="173">
        <f t="shared" si="55"/>
        <v>9254860.1899999995</v>
      </c>
      <c r="N380" s="363">
        <f t="shared" si="52"/>
        <v>0</v>
      </c>
      <c r="O380" s="43" t="s">
        <v>3309</v>
      </c>
      <c r="P380" s="43"/>
      <c r="R380" s="41">
        <f t="shared" si="48"/>
        <v>0</v>
      </c>
      <c r="S380" s="41">
        <f t="shared" si="49"/>
        <v>0</v>
      </c>
      <c r="T380" s="41">
        <f t="shared" si="50"/>
        <v>0</v>
      </c>
      <c r="U380" s="41"/>
      <c r="V380" s="44" t="str">
        <f>IF($P380="High",$S380,IF($P380="Mix",SUMIF('High_Low Voltage Mix Summary'!$B$10:$B$17,$B1037,'High_Low Voltage Mix Summary'!$D$10:$D$17),""))</f>
        <v/>
      </c>
      <c r="W380" s="44" t="str">
        <f>IF($P380="Low",$S380,IF($P380="Mix",SUMIF('High_Low Voltage Mix Summary'!$B$10:$B$17,$B1037,'High_Low Voltage Mix Summary'!$E$10:$E$17),""))</f>
        <v/>
      </c>
      <c r="X380" s="44" t="str">
        <f>IF($P380="High",$T380,IF($P380="Mix",SUMIF('High_Low Voltage Mix Summary'!$B$10:$B$17,$B1037,'High_Low Voltage Mix Summary'!$F$10:$F$17),""))</f>
        <v/>
      </c>
      <c r="Y380" s="44" t="str">
        <f>IF($P380="Low",$T380,IF($P380="Mix",SUMIF('High_Low Voltage Mix Summary'!$B$10:$B$17,$B1037,'High_Low Voltage Mix Summary'!$G$10:$G$17),""))</f>
        <v/>
      </c>
      <c r="Z380" s="44" t="str">
        <f>IF(OR($P380="High",$P380="Low"),"",IF($P380="Mix",SUMIF('High_Low Voltage Mix Summary'!$B$10:$B$17,$B1037,'High_Low Voltage Mix Summary'!$H$10:$H$17),""))</f>
        <v/>
      </c>
      <c r="AB380" s="49">
        <f>SUMIF('Antelope Bailey Split BA'!$B$7:$B$29,B380,'Antelope Bailey Split BA'!$C$7:$C$29)</f>
        <v>1</v>
      </c>
      <c r="AC380" s="49" t="str">
        <f>IF(AND(AB380=1,'Plant Total by Account'!$H$1=2),"EKWRA","")</f>
        <v>EKWRA</v>
      </c>
    </row>
    <row r="381" spans="1:29" ht="12.75" customHeight="1" x14ac:dyDescent="0.2">
      <c r="A381" s="39" t="s">
        <v>2909</v>
      </c>
      <c r="B381" s="45" t="s">
        <v>485</v>
      </c>
      <c r="C381" s="40" t="s">
        <v>3333</v>
      </c>
      <c r="D381" s="53">
        <v>881.31000000000006</v>
      </c>
      <c r="E381" s="53">
        <v>5063.8100000000004</v>
      </c>
      <c r="F381" s="53">
        <v>392000.19999999995</v>
      </c>
      <c r="G381" s="578">
        <f t="shared" si="51"/>
        <v>397945.31999999995</v>
      </c>
      <c r="H381" s="41"/>
      <c r="I381" s="41"/>
      <c r="J381" s="41"/>
      <c r="K381" s="41">
        <f t="shared" si="53"/>
        <v>881.31000000000006</v>
      </c>
      <c r="L381" s="41">
        <f t="shared" si="54"/>
        <v>5063.8100000000004</v>
      </c>
      <c r="M381" s="41">
        <f t="shared" si="55"/>
        <v>392000.19999999995</v>
      </c>
      <c r="N381" s="363">
        <f t="shared" si="52"/>
        <v>0</v>
      </c>
      <c r="O381" s="43" t="s">
        <v>3309</v>
      </c>
      <c r="P381" s="43"/>
      <c r="R381" s="41">
        <f t="shared" si="48"/>
        <v>0</v>
      </c>
      <c r="S381" s="41">
        <f t="shared" si="49"/>
        <v>0</v>
      </c>
      <c r="T381" s="41">
        <f t="shared" si="50"/>
        <v>0</v>
      </c>
      <c r="U381" s="41"/>
      <c r="V381" s="44" t="str">
        <f>IF($P381="High",$S381,IF($P381="Mix",SUMIF('High_Low Voltage Mix Summary'!$B$10:$B$17,$B580,'High_Low Voltage Mix Summary'!$D$10:$D$17),""))</f>
        <v/>
      </c>
      <c r="W381" s="44" t="str">
        <f>IF($P381="Low",$S381,IF($P381="Mix",SUMIF('High_Low Voltage Mix Summary'!$B$10:$B$17,$B580,'High_Low Voltage Mix Summary'!$E$10:$E$17),""))</f>
        <v/>
      </c>
      <c r="X381" s="44" t="str">
        <f>IF($P381="High",$T381,IF($P381="Mix",SUMIF('High_Low Voltage Mix Summary'!$B$10:$B$17,$B580,'High_Low Voltage Mix Summary'!$F$10:$F$17),""))</f>
        <v/>
      </c>
      <c r="Y381" s="44" t="str">
        <f>IF($P381="Low",$T381,IF($P381="Mix",SUMIF('High_Low Voltage Mix Summary'!$B$10:$B$17,$B580,'High_Low Voltage Mix Summary'!$G$10:$G$17),""))</f>
        <v/>
      </c>
      <c r="Z381" s="44" t="str">
        <f>IF(OR($P381="High",$P381="Low"),"",IF($P381="Mix",SUMIF('High_Low Voltage Mix Summary'!$B$10:$B$17,$B580,'High_Low Voltage Mix Summary'!$H$10:$H$17),""))</f>
        <v/>
      </c>
      <c r="AB381" s="49">
        <f>SUMIF('Antelope Bailey Split BA'!$B$7:$B$29,B381,'Antelope Bailey Split BA'!$C$7:$C$29)</f>
        <v>0</v>
      </c>
      <c r="AC381" s="49" t="str">
        <f>IF(AND(AB381=1,'Plant Total by Account'!$H$1=2),"EKWRA","")</f>
        <v/>
      </c>
    </row>
    <row r="382" spans="1:29" ht="12.75" customHeight="1" x14ac:dyDescent="0.2">
      <c r="A382" s="39" t="s">
        <v>2910</v>
      </c>
      <c r="B382" s="45" t="s">
        <v>486</v>
      </c>
      <c r="C382" s="40" t="s">
        <v>3334</v>
      </c>
      <c r="D382" s="53">
        <v>518.76</v>
      </c>
      <c r="E382" s="53">
        <v>120636.88</v>
      </c>
      <c r="F382" s="53">
        <v>3423659.4099999992</v>
      </c>
      <c r="G382" s="578">
        <f t="shared" si="51"/>
        <v>3544815.0499999993</v>
      </c>
      <c r="H382" s="41"/>
      <c r="I382" s="41"/>
      <c r="J382" s="41"/>
      <c r="K382" s="41">
        <f t="shared" si="53"/>
        <v>518.76</v>
      </c>
      <c r="L382" s="41">
        <f t="shared" si="54"/>
        <v>120636.88</v>
      </c>
      <c r="M382" s="41">
        <f t="shared" si="55"/>
        <v>3423659.4099999992</v>
      </c>
      <c r="N382" s="363">
        <f t="shared" si="52"/>
        <v>0</v>
      </c>
      <c r="O382" s="43" t="s">
        <v>3309</v>
      </c>
      <c r="P382" s="43"/>
      <c r="R382" s="41">
        <f t="shared" si="48"/>
        <v>0</v>
      </c>
      <c r="S382" s="41">
        <f t="shared" si="49"/>
        <v>0</v>
      </c>
      <c r="T382" s="41">
        <f t="shared" si="50"/>
        <v>0</v>
      </c>
      <c r="U382" s="41"/>
      <c r="V382" s="44" t="str">
        <f>IF($P382="High",$S382,IF($P382="Mix",SUMIF('High_Low Voltage Mix Summary'!$B$10:$B$17,$B660,'High_Low Voltage Mix Summary'!$D$10:$D$17),""))</f>
        <v/>
      </c>
      <c r="W382" s="44" t="str">
        <f>IF($P382="Low",$S382,IF($P382="Mix",SUMIF('High_Low Voltage Mix Summary'!$B$10:$B$17,$B660,'High_Low Voltage Mix Summary'!$E$10:$E$17),""))</f>
        <v/>
      </c>
      <c r="X382" s="44" t="str">
        <f>IF($P382="High",$T382,IF($P382="Mix",SUMIF('High_Low Voltage Mix Summary'!$B$10:$B$17,$B660,'High_Low Voltage Mix Summary'!$F$10:$F$17),""))</f>
        <v/>
      </c>
      <c r="Y382" s="44" t="str">
        <f>IF($P382="Low",$T382,IF($P382="Mix",SUMIF('High_Low Voltage Mix Summary'!$B$10:$B$17,$B660,'High_Low Voltage Mix Summary'!$G$10:$G$17),""))</f>
        <v/>
      </c>
      <c r="Z382" s="44" t="str">
        <f>IF(OR($P382="High",$P382="Low"),"",IF($P382="Mix",SUMIF('High_Low Voltage Mix Summary'!$B$10:$B$17,$B660,'High_Low Voltage Mix Summary'!$H$10:$H$17),""))</f>
        <v/>
      </c>
      <c r="AB382" s="49">
        <f>SUMIF('Antelope Bailey Split BA'!$B$7:$B$29,B382,'Antelope Bailey Split BA'!$C$7:$C$29)</f>
        <v>0</v>
      </c>
      <c r="AC382" s="49" t="str">
        <f>IF(AND(AB382=1,'Plant Total by Account'!$H$1=2),"EKWRA","")</f>
        <v/>
      </c>
    </row>
    <row r="383" spans="1:29" ht="12.75" customHeight="1" x14ac:dyDescent="0.2">
      <c r="A383" s="39" t="s">
        <v>2911</v>
      </c>
      <c r="B383" s="45" t="s">
        <v>487</v>
      </c>
      <c r="C383" s="40" t="s">
        <v>3334</v>
      </c>
      <c r="D383" s="53">
        <v>2903.05</v>
      </c>
      <c r="E383" s="53">
        <v>22946.660000000003</v>
      </c>
      <c r="F383" s="53">
        <v>1265840.2399999998</v>
      </c>
      <c r="G383" s="578">
        <f t="shared" si="51"/>
        <v>1291689.9499999997</v>
      </c>
      <c r="H383" s="41"/>
      <c r="I383" s="41"/>
      <c r="J383" s="41"/>
      <c r="K383" s="41">
        <f t="shared" si="53"/>
        <v>2903.05</v>
      </c>
      <c r="L383" s="41">
        <f t="shared" si="54"/>
        <v>22946.660000000003</v>
      </c>
      <c r="M383" s="41">
        <f t="shared" si="55"/>
        <v>1265840.2399999998</v>
      </c>
      <c r="N383" s="363">
        <f t="shared" si="52"/>
        <v>0</v>
      </c>
      <c r="O383" s="43" t="s">
        <v>3309</v>
      </c>
      <c r="P383" s="43"/>
      <c r="R383" s="41">
        <f t="shared" si="48"/>
        <v>0</v>
      </c>
      <c r="S383" s="41">
        <f t="shared" si="49"/>
        <v>0</v>
      </c>
      <c r="T383" s="41">
        <f t="shared" si="50"/>
        <v>0</v>
      </c>
      <c r="U383" s="41"/>
      <c r="V383" s="44" t="str">
        <f>IF($P383="High",$S383,IF($P383="Mix",SUMIF('High_Low Voltage Mix Summary'!$B$10:$B$17,$B256,'High_Low Voltage Mix Summary'!$D$10:$D$17),""))</f>
        <v/>
      </c>
      <c r="W383" s="44" t="str">
        <f>IF($P383="Low",$S383,IF($P383="Mix",SUMIF('High_Low Voltage Mix Summary'!$B$10:$B$17,$B256,'High_Low Voltage Mix Summary'!$E$10:$E$17),""))</f>
        <v/>
      </c>
      <c r="X383" s="44" t="str">
        <f>IF($P383="High",$T383,IF($P383="Mix",SUMIF('High_Low Voltage Mix Summary'!$B$10:$B$17,$B256,'High_Low Voltage Mix Summary'!$F$10:$F$17),""))</f>
        <v/>
      </c>
      <c r="Y383" s="44" t="str">
        <f>IF($P383="Low",$T383,IF($P383="Mix",SUMIF('High_Low Voltage Mix Summary'!$B$10:$B$17,$B256,'High_Low Voltage Mix Summary'!$G$10:$G$17),""))</f>
        <v/>
      </c>
      <c r="Z383" s="44" t="str">
        <f>IF(OR($P383="High",$P383="Low"),"",IF($P383="Mix",SUMIF('High_Low Voltage Mix Summary'!$B$10:$B$17,$B256,'High_Low Voltage Mix Summary'!$H$10:$H$17),""))</f>
        <v/>
      </c>
      <c r="AB383" s="49">
        <f>SUMIF('Antelope Bailey Split BA'!$B$7:$B$29,B383,'Antelope Bailey Split BA'!$C$7:$C$29)</f>
        <v>0</v>
      </c>
      <c r="AC383" s="49" t="str">
        <f>IF(AND(AB383=1,'Plant Total by Account'!$H$1=2),"EKWRA","")</f>
        <v/>
      </c>
    </row>
    <row r="384" spans="1:29" x14ac:dyDescent="0.2">
      <c r="A384" s="39" t="s">
        <v>2912</v>
      </c>
      <c r="B384" s="45" t="s">
        <v>488</v>
      </c>
      <c r="C384" s="40" t="s">
        <v>3334</v>
      </c>
      <c r="D384" s="53">
        <v>16548.080000000002</v>
      </c>
      <c r="E384" s="53">
        <v>165645.43</v>
      </c>
      <c r="F384" s="53">
        <v>2200008.5499999993</v>
      </c>
      <c r="G384" s="578">
        <f t="shared" si="51"/>
        <v>2382202.0599999996</v>
      </c>
      <c r="H384" s="41"/>
      <c r="I384" s="41"/>
      <c r="J384" s="41"/>
      <c r="K384" s="41">
        <f t="shared" si="53"/>
        <v>16548.080000000002</v>
      </c>
      <c r="L384" s="41">
        <f t="shared" si="54"/>
        <v>165645.43</v>
      </c>
      <c r="M384" s="41">
        <f t="shared" si="55"/>
        <v>2200008.5499999993</v>
      </c>
      <c r="N384" s="363">
        <f t="shared" si="52"/>
        <v>0</v>
      </c>
      <c r="O384" s="43" t="s">
        <v>3309</v>
      </c>
      <c r="P384" s="43"/>
      <c r="R384" s="41">
        <f t="shared" si="48"/>
        <v>0</v>
      </c>
      <c r="S384" s="41">
        <f t="shared" si="49"/>
        <v>0</v>
      </c>
      <c r="T384" s="41">
        <f t="shared" si="50"/>
        <v>0</v>
      </c>
      <c r="U384" s="41"/>
      <c r="V384" s="44" t="str">
        <f>IF($P384="High",$S384,IF($P384="Mix",SUMIF('High_Low Voltage Mix Summary'!$B$10:$B$17,$B257,'High_Low Voltage Mix Summary'!$D$10:$D$17),""))</f>
        <v/>
      </c>
      <c r="W384" s="44" t="str">
        <f>IF($P384="Low",$S384,IF($P384="Mix",SUMIF('High_Low Voltage Mix Summary'!$B$10:$B$17,$B257,'High_Low Voltage Mix Summary'!$E$10:$E$17),""))</f>
        <v/>
      </c>
      <c r="X384" s="44" t="str">
        <f>IF($P384="High",$T384,IF($P384="Mix",SUMIF('High_Low Voltage Mix Summary'!$B$10:$B$17,$B257,'High_Low Voltage Mix Summary'!$F$10:$F$17),""))</f>
        <v/>
      </c>
      <c r="Y384" s="44" t="str">
        <f>IF($P384="Low",$T384,IF($P384="Mix",SUMIF('High_Low Voltage Mix Summary'!$B$10:$B$17,$B257,'High_Low Voltage Mix Summary'!$G$10:$G$17),""))</f>
        <v/>
      </c>
      <c r="Z384" s="44" t="str">
        <f>IF(OR($P384="High",$P384="Low"),"",IF($P384="Mix",SUMIF('High_Low Voltage Mix Summary'!$B$10:$B$17,$B257,'High_Low Voltage Mix Summary'!$H$10:$H$17),""))</f>
        <v/>
      </c>
      <c r="AB384" s="49">
        <f>SUMIF('Antelope Bailey Split BA'!$B$7:$B$29,B384,'Antelope Bailey Split BA'!$C$7:$C$29)</f>
        <v>0</v>
      </c>
      <c r="AC384" s="49" t="str">
        <f>IF(AND(AB384=1,'Plant Total by Account'!$H$1=2),"EKWRA","")</f>
        <v/>
      </c>
    </row>
    <row r="385" spans="1:29" x14ac:dyDescent="0.2">
      <c r="A385" s="39" t="s">
        <v>2437</v>
      </c>
      <c r="B385" s="45" t="s">
        <v>489</v>
      </c>
      <c r="C385" s="40" t="s">
        <v>3334</v>
      </c>
      <c r="D385" s="53">
        <v>0</v>
      </c>
      <c r="E385" s="53">
        <v>50566.97</v>
      </c>
      <c r="F385" s="53">
        <v>1419065.96</v>
      </c>
      <c r="G385" s="578">
        <f t="shared" si="51"/>
        <v>1469632.93</v>
      </c>
      <c r="H385" s="173"/>
      <c r="I385" s="173"/>
      <c r="J385" s="173"/>
      <c r="K385" s="173">
        <f t="shared" si="53"/>
        <v>0</v>
      </c>
      <c r="L385" s="173">
        <f t="shared" si="54"/>
        <v>50566.97</v>
      </c>
      <c r="M385" s="173">
        <f t="shared" si="55"/>
        <v>1419065.96</v>
      </c>
      <c r="N385" s="363">
        <f t="shared" si="52"/>
        <v>0</v>
      </c>
      <c r="O385" s="43" t="s">
        <v>3309</v>
      </c>
      <c r="P385" s="43"/>
      <c r="R385" s="41">
        <f t="shared" si="48"/>
        <v>0</v>
      </c>
      <c r="S385" s="41">
        <f t="shared" si="49"/>
        <v>0</v>
      </c>
      <c r="T385" s="41">
        <f t="shared" si="50"/>
        <v>0</v>
      </c>
      <c r="U385" s="41"/>
      <c r="V385" s="44" t="str">
        <f>IF($P385="High",$S385,IF($P385="Mix",SUMIF('High_Low Voltage Mix Summary'!$B$10:$B$17,$B758,'High_Low Voltage Mix Summary'!$D$10:$D$17),""))</f>
        <v/>
      </c>
      <c r="W385" s="44" t="str">
        <f>IF($P385="Low",$S385,IF($P385="Mix",SUMIF('High_Low Voltage Mix Summary'!$B$10:$B$17,$B758,'High_Low Voltage Mix Summary'!$E$10:$E$17),""))</f>
        <v/>
      </c>
      <c r="X385" s="44" t="str">
        <f>IF($P385="High",$T385,IF($P385="Mix",SUMIF('High_Low Voltage Mix Summary'!$B$10:$B$17,$B758,'High_Low Voltage Mix Summary'!$F$10:$F$17),""))</f>
        <v/>
      </c>
      <c r="Y385" s="44" t="str">
        <f>IF($P385="Low",$T385,IF($P385="Mix",SUMIF('High_Low Voltage Mix Summary'!$B$10:$B$17,$B758,'High_Low Voltage Mix Summary'!$G$10:$G$17),""))</f>
        <v/>
      </c>
      <c r="Z385" s="44" t="str">
        <f>IF(OR($P385="High",$P385="Low"),"",IF($P385="Mix",SUMIF('High_Low Voltage Mix Summary'!$B$10:$B$17,$B758,'High_Low Voltage Mix Summary'!$H$10:$H$17),""))</f>
        <v/>
      </c>
      <c r="AB385" s="49">
        <f>SUMIF('Antelope Bailey Split BA'!$B$7:$B$29,B385,'Antelope Bailey Split BA'!$C$7:$C$29)</f>
        <v>1</v>
      </c>
      <c r="AC385" s="49" t="str">
        <f>IF(AND(AB385=1,'Plant Total by Account'!$H$1=2),"EKWRA","")</f>
        <v>EKWRA</v>
      </c>
    </row>
    <row r="386" spans="1:29" x14ac:dyDescent="0.2">
      <c r="A386" s="39" t="s">
        <v>2913</v>
      </c>
      <c r="B386" s="45" t="s">
        <v>490</v>
      </c>
      <c r="C386" s="40" t="s">
        <v>3334</v>
      </c>
      <c r="D386" s="53">
        <v>1155.2</v>
      </c>
      <c r="E386" s="53">
        <v>3686.94</v>
      </c>
      <c r="F386" s="53">
        <v>29468.01</v>
      </c>
      <c r="G386" s="578">
        <f t="shared" si="51"/>
        <v>34310.15</v>
      </c>
      <c r="H386" s="41"/>
      <c r="I386" s="41"/>
      <c r="J386" s="41"/>
      <c r="K386" s="41">
        <f t="shared" si="53"/>
        <v>1155.2</v>
      </c>
      <c r="L386" s="41">
        <f t="shared" si="54"/>
        <v>3686.94</v>
      </c>
      <c r="M386" s="41">
        <f t="shared" si="55"/>
        <v>29468.01</v>
      </c>
      <c r="N386" s="363">
        <f t="shared" si="52"/>
        <v>0</v>
      </c>
      <c r="O386" s="43" t="s">
        <v>3309</v>
      </c>
      <c r="P386" s="43"/>
      <c r="R386" s="41">
        <f t="shared" si="48"/>
        <v>0</v>
      </c>
      <c r="S386" s="41">
        <f t="shared" si="49"/>
        <v>0</v>
      </c>
      <c r="T386" s="41">
        <f t="shared" si="50"/>
        <v>0</v>
      </c>
      <c r="U386" s="41"/>
      <c r="V386" s="44" t="str">
        <f>IF($P386="High",$S386,IF($P386="Mix",SUMIF('High_Low Voltage Mix Summary'!$B$10:$B$17,$B581,'High_Low Voltage Mix Summary'!$D$10:$D$17),""))</f>
        <v/>
      </c>
      <c r="W386" s="44" t="str">
        <f>IF($P386="Low",$S386,IF($P386="Mix",SUMIF('High_Low Voltage Mix Summary'!$B$10:$B$17,$B581,'High_Low Voltage Mix Summary'!$E$10:$E$17),""))</f>
        <v/>
      </c>
      <c r="X386" s="44" t="str">
        <f>IF($P386="High",$T386,IF($P386="Mix",SUMIF('High_Low Voltage Mix Summary'!$B$10:$B$17,$B581,'High_Low Voltage Mix Summary'!$F$10:$F$17),""))</f>
        <v/>
      </c>
      <c r="Y386" s="44" t="str">
        <f>IF($P386="Low",$T386,IF($P386="Mix",SUMIF('High_Low Voltage Mix Summary'!$B$10:$B$17,$B581,'High_Low Voltage Mix Summary'!$G$10:$G$17),""))</f>
        <v/>
      </c>
      <c r="Z386" s="44" t="str">
        <f>IF(OR($P386="High",$P386="Low"),"",IF($P386="Mix",SUMIF('High_Low Voltage Mix Summary'!$B$10:$B$17,$B581,'High_Low Voltage Mix Summary'!$H$10:$H$17),""))</f>
        <v/>
      </c>
      <c r="AB386" s="49">
        <f>SUMIF('Antelope Bailey Split BA'!$B$7:$B$29,B386,'Antelope Bailey Split BA'!$C$7:$C$29)</f>
        <v>0</v>
      </c>
      <c r="AC386" s="49" t="str">
        <f>IF(AND(AB386=1,'Plant Total by Account'!$H$1=2),"EKWRA","")</f>
        <v/>
      </c>
    </row>
    <row r="387" spans="1:29" x14ac:dyDescent="0.2">
      <c r="A387" s="39" t="s">
        <v>2914</v>
      </c>
      <c r="B387" s="45" t="s">
        <v>491</v>
      </c>
      <c r="C387" s="40" t="s">
        <v>3334</v>
      </c>
      <c r="D387" s="53">
        <v>3166.33</v>
      </c>
      <c r="E387" s="53">
        <v>31942.27</v>
      </c>
      <c r="F387" s="53">
        <v>3074773.2500000005</v>
      </c>
      <c r="G387" s="578">
        <f t="shared" si="51"/>
        <v>3109881.8500000006</v>
      </c>
      <c r="H387" s="41"/>
      <c r="I387" s="41"/>
      <c r="J387" s="41"/>
      <c r="K387" s="41">
        <f t="shared" si="53"/>
        <v>3166.33</v>
      </c>
      <c r="L387" s="41">
        <f t="shared" si="54"/>
        <v>31942.27</v>
      </c>
      <c r="M387" s="41">
        <f t="shared" si="55"/>
        <v>3074773.2500000005</v>
      </c>
      <c r="N387" s="363">
        <f t="shared" si="52"/>
        <v>0</v>
      </c>
      <c r="O387" s="43" t="s">
        <v>3309</v>
      </c>
      <c r="P387" s="43"/>
      <c r="R387" s="41">
        <f t="shared" si="48"/>
        <v>0</v>
      </c>
      <c r="S387" s="41">
        <f t="shared" si="49"/>
        <v>0</v>
      </c>
      <c r="T387" s="41">
        <f t="shared" si="50"/>
        <v>0</v>
      </c>
      <c r="U387" s="41"/>
      <c r="V387" s="44" t="str">
        <f>IF($P387="High",$S387,IF($P387="Mix",SUMIF('High_Low Voltage Mix Summary'!$B$10:$B$17,$B259,'High_Low Voltage Mix Summary'!$D$10:$D$17),""))</f>
        <v/>
      </c>
      <c r="W387" s="44" t="str">
        <f>IF($P387="Low",$S387,IF($P387="Mix",SUMIF('High_Low Voltage Mix Summary'!$B$10:$B$17,$B259,'High_Low Voltage Mix Summary'!$E$10:$E$17),""))</f>
        <v/>
      </c>
      <c r="X387" s="44" t="str">
        <f>IF($P387="High",$T387,IF($P387="Mix",SUMIF('High_Low Voltage Mix Summary'!$B$10:$B$17,$B259,'High_Low Voltage Mix Summary'!$F$10:$F$17),""))</f>
        <v/>
      </c>
      <c r="Y387" s="44" t="str">
        <f>IF($P387="Low",$T387,IF($P387="Mix",SUMIF('High_Low Voltage Mix Summary'!$B$10:$B$17,$B259,'High_Low Voltage Mix Summary'!$G$10:$G$17),""))</f>
        <v/>
      </c>
      <c r="Z387" s="44" t="str">
        <f>IF(OR($P387="High",$P387="Low"),"",IF($P387="Mix",SUMIF('High_Low Voltage Mix Summary'!$B$10:$B$17,$B259,'High_Low Voltage Mix Summary'!$H$10:$H$17),""))</f>
        <v/>
      </c>
      <c r="AB387" s="49">
        <f>SUMIF('Antelope Bailey Split BA'!$B$7:$B$29,B387,'Antelope Bailey Split BA'!$C$7:$C$29)</f>
        <v>0</v>
      </c>
      <c r="AC387" s="49" t="str">
        <f>IF(AND(AB387=1,'Plant Total by Account'!$H$1=2),"EKWRA","")</f>
        <v/>
      </c>
    </row>
    <row r="388" spans="1:29" x14ac:dyDescent="0.2">
      <c r="A388" s="39" t="s">
        <v>2438</v>
      </c>
      <c r="B388" s="45" t="s">
        <v>492</v>
      </c>
      <c r="C388" s="40" t="s">
        <v>3334</v>
      </c>
      <c r="D388" s="53">
        <v>3208.53</v>
      </c>
      <c r="E388" s="53">
        <v>84586.5</v>
      </c>
      <c r="F388" s="53">
        <v>450462.3</v>
      </c>
      <c r="G388" s="516">
        <f t="shared" si="51"/>
        <v>538257.32999999996</v>
      </c>
      <c r="H388" s="173"/>
      <c r="I388" s="173"/>
      <c r="J388" s="173"/>
      <c r="K388" s="173">
        <f t="shared" si="53"/>
        <v>3208.53</v>
      </c>
      <c r="L388" s="173">
        <f t="shared" si="54"/>
        <v>84586.5</v>
      </c>
      <c r="M388" s="173">
        <f t="shared" si="55"/>
        <v>450462.3</v>
      </c>
      <c r="N388" s="363">
        <f t="shared" si="52"/>
        <v>0</v>
      </c>
      <c r="O388" s="43" t="s">
        <v>3309</v>
      </c>
      <c r="P388" s="43"/>
      <c r="R388" s="41">
        <f t="shared" si="48"/>
        <v>0</v>
      </c>
      <c r="S388" s="41">
        <f t="shared" si="49"/>
        <v>0</v>
      </c>
      <c r="T388" s="41">
        <f t="shared" si="50"/>
        <v>0</v>
      </c>
      <c r="U388" s="41"/>
      <c r="V388" s="44" t="str">
        <f>IF($P388="High",$S388,IF($P388="Mix",SUMIF('High_Low Voltage Mix Summary'!$B$10:$B$17,$B283,'High_Low Voltage Mix Summary'!$D$10:$D$17),""))</f>
        <v/>
      </c>
      <c r="W388" s="44" t="str">
        <f>IF($P388="Low",$S388,IF($P388="Mix",SUMIF('High_Low Voltage Mix Summary'!$B$10:$B$17,$B283,'High_Low Voltage Mix Summary'!$E$10:$E$17),""))</f>
        <v/>
      </c>
      <c r="X388" s="44" t="str">
        <f>IF($P388="High",$T388,IF($P388="Mix",SUMIF('High_Low Voltage Mix Summary'!$B$10:$B$17,$B283,'High_Low Voltage Mix Summary'!$F$10:$F$17),""))</f>
        <v/>
      </c>
      <c r="Y388" s="44" t="str">
        <f>IF($P388="Low",$T388,IF($P388="Mix",SUMIF('High_Low Voltage Mix Summary'!$B$10:$B$17,$B283,'High_Low Voltage Mix Summary'!$G$10:$G$17),""))</f>
        <v/>
      </c>
      <c r="Z388" s="44" t="str">
        <f>IF(OR($P388="High",$P388="Low"),"",IF($P388="Mix",SUMIF('High_Low Voltage Mix Summary'!$B$10:$B$17,$B283,'High_Low Voltage Mix Summary'!$H$10:$H$17),""))</f>
        <v/>
      </c>
      <c r="AB388" s="49">
        <f>SUMIF('Antelope Bailey Split BA'!$B$7:$B$29,B388,'Antelope Bailey Split BA'!$C$7:$C$29)</f>
        <v>0</v>
      </c>
      <c r="AC388" s="49" t="str">
        <f>IF(AND(AB388=1,'Plant Total by Account'!$H$1=2),"EKWRA","")</f>
        <v/>
      </c>
    </row>
    <row r="389" spans="1:29" x14ac:dyDescent="0.2">
      <c r="A389" s="39" t="s">
        <v>2439</v>
      </c>
      <c r="B389" s="132" t="s">
        <v>493</v>
      </c>
      <c r="C389" s="40" t="s">
        <v>3334</v>
      </c>
      <c r="D389" s="53">
        <v>55457.94</v>
      </c>
      <c r="E389" s="53">
        <v>159578.97999999998</v>
      </c>
      <c r="F389" s="53">
        <v>8620724.9300000016</v>
      </c>
      <c r="G389" s="578">
        <f t="shared" si="51"/>
        <v>8835761.8500000015</v>
      </c>
      <c r="H389" s="41"/>
      <c r="I389" s="41"/>
      <c r="J389" s="41"/>
      <c r="K389" s="41">
        <f t="shared" si="53"/>
        <v>55457.94</v>
      </c>
      <c r="L389" s="41">
        <f t="shared" si="54"/>
        <v>159578.97999999998</v>
      </c>
      <c r="M389" s="41">
        <f t="shared" si="55"/>
        <v>8620724.9300000016</v>
      </c>
      <c r="N389" s="363">
        <f t="shared" si="52"/>
        <v>0</v>
      </c>
      <c r="O389" s="43" t="s">
        <v>3309</v>
      </c>
      <c r="P389" s="43"/>
      <c r="R389" s="41"/>
      <c r="S389" s="41"/>
      <c r="T389" s="41"/>
      <c r="U389" s="41"/>
      <c r="V389" s="44"/>
      <c r="W389" s="44"/>
      <c r="X389" s="44"/>
      <c r="Y389" s="44"/>
      <c r="Z389" s="44"/>
      <c r="AB389" s="49">
        <f>SUMIF('Antelope Bailey Split BA'!$B$7:$B$29,B389,'Antelope Bailey Split BA'!$C$7:$C$29)</f>
        <v>0</v>
      </c>
      <c r="AC389" s="49" t="str">
        <f>IF(AND(AB389=1,'Plant Total by Account'!$H$1=2),"EKWRA","")</f>
        <v/>
      </c>
    </row>
    <row r="390" spans="1:29" ht="12.75" customHeight="1" x14ac:dyDescent="0.2">
      <c r="A390" s="39" t="s">
        <v>2915</v>
      </c>
      <c r="B390" s="45" t="s">
        <v>494</v>
      </c>
      <c r="C390" s="40" t="s">
        <v>3334</v>
      </c>
      <c r="D390" s="53">
        <v>17362.68</v>
      </c>
      <c r="E390" s="53">
        <v>247803.49</v>
      </c>
      <c r="F390" s="53">
        <v>3016484.9000000004</v>
      </c>
      <c r="G390" s="578">
        <f t="shared" si="51"/>
        <v>3281651.0700000003</v>
      </c>
      <c r="H390" s="41"/>
      <c r="I390" s="41"/>
      <c r="J390" s="41"/>
      <c r="K390" s="41">
        <f t="shared" si="53"/>
        <v>17362.68</v>
      </c>
      <c r="L390" s="41">
        <f t="shared" si="54"/>
        <v>247803.49</v>
      </c>
      <c r="M390" s="41">
        <f t="shared" si="55"/>
        <v>3016484.9000000004</v>
      </c>
      <c r="N390" s="363">
        <f t="shared" si="52"/>
        <v>0</v>
      </c>
      <c r="O390" s="43" t="s">
        <v>3309</v>
      </c>
      <c r="P390" s="43"/>
      <c r="R390" s="41">
        <f t="shared" ref="R390:R453" si="56">SUM(H390:J390)</f>
        <v>0</v>
      </c>
      <c r="S390" s="41">
        <f t="shared" ref="S390:S453" si="57">H390</f>
        <v>0</v>
      </c>
      <c r="T390" s="41">
        <f t="shared" ref="T390:T453" si="58">SUM(I390:J390)</f>
        <v>0</v>
      </c>
      <c r="U390" s="41"/>
      <c r="V390" s="44" t="str">
        <f>IF($P390="High",$S390,IF($P390="Mix",SUMIF('High_Low Voltage Mix Summary'!$B$10:$B$17,$B261,'High_Low Voltage Mix Summary'!$D$10:$D$17),""))</f>
        <v/>
      </c>
      <c r="W390" s="44" t="str">
        <f>IF($P390="Low",$S390,IF($P390="Mix",SUMIF('High_Low Voltage Mix Summary'!$B$10:$B$17,$B261,'High_Low Voltage Mix Summary'!$E$10:$E$17),""))</f>
        <v/>
      </c>
      <c r="X390" s="44" t="str">
        <f>IF($P390="High",$T390,IF($P390="Mix",SUMIF('High_Low Voltage Mix Summary'!$B$10:$B$17,$B261,'High_Low Voltage Mix Summary'!$F$10:$F$17),""))</f>
        <v/>
      </c>
      <c r="Y390" s="44" t="str">
        <f>IF($P390="Low",$T390,IF($P390="Mix",SUMIF('High_Low Voltage Mix Summary'!$B$10:$B$17,$B261,'High_Low Voltage Mix Summary'!$G$10:$G$17),""))</f>
        <v/>
      </c>
      <c r="Z390" s="44" t="str">
        <f>IF(OR($P390="High",$P390="Low"),"",IF($P390="Mix",SUMIF('High_Low Voltage Mix Summary'!$B$10:$B$17,$B261,'High_Low Voltage Mix Summary'!$H$10:$H$17),""))</f>
        <v/>
      </c>
      <c r="AB390" s="49">
        <f>SUMIF('Antelope Bailey Split BA'!$B$7:$B$29,B390,'Antelope Bailey Split BA'!$C$7:$C$29)</f>
        <v>0</v>
      </c>
      <c r="AC390" s="49" t="str">
        <f>IF(AND(AB390=1,'Plant Total by Account'!$H$1=2),"EKWRA","")</f>
        <v/>
      </c>
    </row>
    <row r="391" spans="1:29" ht="12.75" customHeight="1" x14ac:dyDescent="0.2">
      <c r="A391" s="39" t="s">
        <v>2916</v>
      </c>
      <c r="B391" s="45" t="s">
        <v>495</v>
      </c>
      <c r="C391" s="40" t="s">
        <v>3334</v>
      </c>
      <c r="D391" s="53">
        <v>0</v>
      </c>
      <c r="E391" s="53">
        <v>86872.06</v>
      </c>
      <c r="F391" s="53">
        <v>234592.76</v>
      </c>
      <c r="G391" s="578">
        <f t="shared" si="51"/>
        <v>321464.82</v>
      </c>
      <c r="H391" s="41"/>
      <c r="I391" s="41"/>
      <c r="J391" s="41"/>
      <c r="K391" s="41">
        <f t="shared" si="53"/>
        <v>0</v>
      </c>
      <c r="L391" s="41">
        <f t="shared" si="54"/>
        <v>86872.06</v>
      </c>
      <c r="M391" s="41">
        <f t="shared" si="55"/>
        <v>234592.76</v>
      </c>
      <c r="N391" s="363">
        <f t="shared" si="52"/>
        <v>0</v>
      </c>
      <c r="O391" s="43" t="s">
        <v>3309</v>
      </c>
      <c r="P391" s="43"/>
      <c r="R391" s="41">
        <f t="shared" si="56"/>
        <v>0</v>
      </c>
      <c r="S391" s="41">
        <f t="shared" si="57"/>
        <v>0</v>
      </c>
      <c r="T391" s="41">
        <f t="shared" si="58"/>
        <v>0</v>
      </c>
      <c r="U391" s="41"/>
      <c r="V391" s="44" t="str">
        <f>IF($P391="High",$S391,IF($P391="Mix",SUMIF('High_Low Voltage Mix Summary'!$B$10:$B$17,$B262,'High_Low Voltage Mix Summary'!$D$10:$D$17),""))</f>
        <v/>
      </c>
      <c r="W391" s="44" t="str">
        <f>IF($P391="Low",$S391,IF($P391="Mix",SUMIF('High_Low Voltage Mix Summary'!$B$10:$B$17,$B262,'High_Low Voltage Mix Summary'!$E$10:$E$17),""))</f>
        <v/>
      </c>
      <c r="X391" s="44" t="str">
        <f>IF($P391="High",$T391,IF($P391="Mix",SUMIF('High_Low Voltage Mix Summary'!$B$10:$B$17,$B262,'High_Low Voltage Mix Summary'!$F$10:$F$17),""))</f>
        <v/>
      </c>
      <c r="Y391" s="44" t="str">
        <f>IF($P391="Low",$T391,IF($P391="Mix",SUMIF('High_Low Voltage Mix Summary'!$B$10:$B$17,$B262,'High_Low Voltage Mix Summary'!$G$10:$G$17),""))</f>
        <v/>
      </c>
      <c r="Z391" s="44" t="str">
        <f>IF(OR($P391="High",$P391="Low"),"",IF($P391="Mix",SUMIF('High_Low Voltage Mix Summary'!$B$10:$B$17,$B262,'High_Low Voltage Mix Summary'!$H$10:$H$17),""))</f>
        <v/>
      </c>
      <c r="AB391" s="49">
        <f>SUMIF('Antelope Bailey Split BA'!$B$7:$B$29,B391,'Antelope Bailey Split BA'!$C$7:$C$29)</f>
        <v>0</v>
      </c>
      <c r="AC391" s="49" t="str">
        <f>IF(AND(AB391=1,'Plant Total by Account'!$H$1=2),"EKWRA","")</f>
        <v/>
      </c>
    </row>
    <row r="392" spans="1:29" x14ac:dyDescent="0.2">
      <c r="A392" s="39" t="s">
        <v>2917</v>
      </c>
      <c r="B392" s="45" t="s">
        <v>496</v>
      </c>
      <c r="C392" s="40" t="s">
        <v>3333</v>
      </c>
      <c r="D392" s="53">
        <v>24305.48</v>
      </c>
      <c r="E392" s="53">
        <v>21958.54</v>
      </c>
      <c r="F392" s="53">
        <v>347703.34000000008</v>
      </c>
      <c r="G392" s="578">
        <f t="shared" si="51"/>
        <v>393967.3600000001</v>
      </c>
      <c r="H392" s="41"/>
      <c r="I392" s="41"/>
      <c r="J392" s="41"/>
      <c r="K392" s="41">
        <f t="shared" si="53"/>
        <v>24305.48</v>
      </c>
      <c r="L392" s="41">
        <f t="shared" si="54"/>
        <v>21958.54</v>
      </c>
      <c r="M392" s="41">
        <f t="shared" si="55"/>
        <v>347703.34000000008</v>
      </c>
      <c r="N392" s="363">
        <f t="shared" si="52"/>
        <v>0</v>
      </c>
      <c r="O392" s="43" t="s">
        <v>3309</v>
      </c>
      <c r="P392" s="43"/>
      <c r="R392" s="41">
        <f t="shared" si="56"/>
        <v>0</v>
      </c>
      <c r="S392" s="41">
        <f t="shared" si="57"/>
        <v>0</v>
      </c>
      <c r="T392" s="41">
        <f t="shared" si="58"/>
        <v>0</v>
      </c>
      <c r="U392" s="41"/>
      <c r="V392" s="44" t="str">
        <f>IF($P392="High",$S392,IF($P392="Mix",SUMIF('High_Low Voltage Mix Summary'!$B$10:$B$17,$B263,'High_Low Voltage Mix Summary'!$D$10:$D$17),""))</f>
        <v/>
      </c>
      <c r="W392" s="44" t="str">
        <f>IF($P392="Low",$S392,IF($P392="Mix",SUMIF('High_Low Voltage Mix Summary'!$B$10:$B$17,$B263,'High_Low Voltage Mix Summary'!$E$10:$E$17),""))</f>
        <v/>
      </c>
      <c r="X392" s="44" t="str">
        <f>IF($P392="High",$T392,IF($P392="Mix",SUMIF('High_Low Voltage Mix Summary'!$B$10:$B$17,$B263,'High_Low Voltage Mix Summary'!$F$10:$F$17),""))</f>
        <v/>
      </c>
      <c r="Y392" s="44" t="str">
        <f>IF($P392="Low",$T392,IF($P392="Mix",SUMIF('High_Low Voltage Mix Summary'!$B$10:$B$17,$B263,'High_Low Voltage Mix Summary'!$G$10:$G$17),""))</f>
        <v/>
      </c>
      <c r="Z392" s="44" t="str">
        <f>IF(OR($P392="High",$P392="Low"),"",IF($P392="Mix",SUMIF('High_Low Voltage Mix Summary'!$B$10:$B$17,$B263,'High_Low Voltage Mix Summary'!$H$10:$H$17),""))</f>
        <v/>
      </c>
      <c r="AB392" s="49">
        <f>SUMIF('Antelope Bailey Split BA'!$B$7:$B$29,B392,'Antelope Bailey Split BA'!$C$7:$C$29)</f>
        <v>0</v>
      </c>
      <c r="AC392" s="49" t="str">
        <f>IF(AND(AB392=1,'Plant Total by Account'!$H$1=2),"EKWRA","")</f>
        <v/>
      </c>
    </row>
    <row r="393" spans="1:29" x14ac:dyDescent="0.2">
      <c r="A393" s="39" t="s">
        <v>2918</v>
      </c>
      <c r="B393" s="45" t="s">
        <v>497</v>
      </c>
      <c r="C393" s="40" t="s">
        <v>3334</v>
      </c>
      <c r="D393" s="53">
        <v>19480.25</v>
      </c>
      <c r="E393" s="53">
        <v>103941.35</v>
      </c>
      <c r="F393" s="53">
        <v>2998323.3699999982</v>
      </c>
      <c r="G393" s="578">
        <f t="shared" si="51"/>
        <v>3121744.9699999983</v>
      </c>
      <c r="H393" s="41"/>
      <c r="I393" s="41"/>
      <c r="J393" s="41"/>
      <c r="K393" s="41">
        <f t="shared" si="53"/>
        <v>19480.25</v>
      </c>
      <c r="L393" s="41">
        <f t="shared" si="54"/>
        <v>103941.35</v>
      </c>
      <c r="M393" s="41">
        <f t="shared" si="55"/>
        <v>2998323.3699999982</v>
      </c>
      <c r="N393" s="363">
        <f t="shared" si="52"/>
        <v>0</v>
      </c>
      <c r="O393" s="43" t="s">
        <v>3309</v>
      </c>
      <c r="P393" s="43"/>
      <c r="R393" s="41">
        <f t="shared" si="56"/>
        <v>0</v>
      </c>
      <c r="S393" s="41">
        <f t="shared" si="57"/>
        <v>0</v>
      </c>
      <c r="T393" s="41">
        <f t="shared" si="58"/>
        <v>0</v>
      </c>
      <c r="U393" s="41"/>
      <c r="V393" s="44" t="str">
        <f>IF($P393="High",$S393,IF($P393="Mix",SUMIF('High_Low Voltage Mix Summary'!$B$10:$B$17,$B661,'High_Low Voltage Mix Summary'!$D$10:$D$17),""))</f>
        <v/>
      </c>
      <c r="W393" s="44" t="str">
        <f>IF($P393="Low",$S393,IF($P393="Mix",SUMIF('High_Low Voltage Mix Summary'!$B$10:$B$17,$B661,'High_Low Voltage Mix Summary'!$E$10:$E$17),""))</f>
        <v/>
      </c>
      <c r="X393" s="44" t="str">
        <f>IF($P393="High",$T393,IF($P393="Mix",SUMIF('High_Low Voltage Mix Summary'!$B$10:$B$17,$B661,'High_Low Voltage Mix Summary'!$F$10:$F$17),""))</f>
        <v/>
      </c>
      <c r="Y393" s="44" t="str">
        <f>IF($P393="Low",$T393,IF($P393="Mix",SUMIF('High_Low Voltage Mix Summary'!$B$10:$B$17,$B661,'High_Low Voltage Mix Summary'!$G$10:$G$17),""))</f>
        <v/>
      </c>
      <c r="Z393" s="44" t="str">
        <f>IF(OR($P393="High",$P393="Low"),"",IF($P393="Mix",SUMIF('High_Low Voltage Mix Summary'!$B$10:$B$17,$B661,'High_Low Voltage Mix Summary'!$H$10:$H$17),""))</f>
        <v/>
      </c>
      <c r="AB393" s="49">
        <f>SUMIF('Antelope Bailey Split BA'!$B$7:$B$29,B393,'Antelope Bailey Split BA'!$C$7:$C$29)</f>
        <v>0</v>
      </c>
      <c r="AC393" s="49" t="str">
        <f>IF(AND(AB393=1,'Plant Total by Account'!$H$1=2),"EKWRA","")</f>
        <v/>
      </c>
    </row>
    <row r="394" spans="1:29" x14ac:dyDescent="0.2">
      <c r="A394" s="39" t="s">
        <v>2440</v>
      </c>
      <c r="B394" s="45" t="s">
        <v>498</v>
      </c>
      <c r="C394" s="40" t="s">
        <v>3334</v>
      </c>
      <c r="D394" s="53">
        <v>62303.26</v>
      </c>
      <c r="E394" s="53">
        <v>433884.24000000011</v>
      </c>
      <c r="F394" s="53">
        <v>7508731.7900000019</v>
      </c>
      <c r="G394" s="578">
        <f t="shared" ref="G394:G457" si="59">SUM(D394:F394)</f>
        <v>8004919.2900000019</v>
      </c>
      <c r="H394" s="173"/>
      <c r="I394" s="173"/>
      <c r="J394" s="173"/>
      <c r="K394" s="173">
        <f t="shared" si="53"/>
        <v>62303.26</v>
      </c>
      <c r="L394" s="173">
        <f t="shared" si="54"/>
        <v>433884.24000000011</v>
      </c>
      <c r="M394" s="173">
        <f t="shared" si="55"/>
        <v>7508731.7900000019</v>
      </c>
      <c r="N394" s="363">
        <f t="shared" ref="N394:N457" si="60">G394-SUM(H394:M394)</f>
        <v>0</v>
      </c>
      <c r="O394" s="43" t="s">
        <v>3309</v>
      </c>
      <c r="P394" s="43"/>
      <c r="R394" s="41">
        <f t="shared" si="56"/>
        <v>0</v>
      </c>
      <c r="S394" s="41">
        <f t="shared" si="57"/>
        <v>0</v>
      </c>
      <c r="T394" s="41">
        <f t="shared" si="58"/>
        <v>0</v>
      </c>
      <c r="U394" s="41"/>
      <c r="V394" s="44" t="str">
        <f>IF($P394="High",$S394,IF($P394="Mix",SUMIF('High_Low Voltage Mix Summary'!$B$10:$B$17,$B765,'High_Low Voltage Mix Summary'!$D$10:$D$17),""))</f>
        <v/>
      </c>
      <c r="W394" s="44" t="str">
        <f>IF($P394="Low",$S394,IF($P394="Mix",SUMIF('High_Low Voltage Mix Summary'!$B$10:$B$17,$B765,'High_Low Voltage Mix Summary'!$E$10:$E$17),""))</f>
        <v/>
      </c>
      <c r="X394" s="44" t="str">
        <f>IF($P394="High",$T394,IF($P394="Mix",SUMIF('High_Low Voltage Mix Summary'!$B$10:$B$17,$B765,'High_Low Voltage Mix Summary'!$F$10:$F$17),""))</f>
        <v/>
      </c>
      <c r="Y394" s="44" t="str">
        <f>IF($P394="Low",$T394,IF($P394="Mix",SUMIF('High_Low Voltage Mix Summary'!$B$10:$B$17,$B765,'High_Low Voltage Mix Summary'!$G$10:$G$17),""))</f>
        <v/>
      </c>
      <c r="Z394" s="44" t="str">
        <f>IF(OR($P394="High",$P394="Low"),"",IF($P394="Mix",SUMIF('High_Low Voltage Mix Summary'!$B$10:$B$17,$B765,'High_Low Voltage Mix Summary'!$H$10:$H$17),""))</f>
        <v/>
      </c>
      <c r="AB394" s="49">
        <f>SUMIF('Antelope Bailey Split BA'!$B$7:$B$29,B394,'Antelope Bailey Split BA'!$C$7:$C$29)</f>
        <v>1</v>
      </c>
      <c r="AC394" s="49" t="str">
        <f>IF(AND(AB394=1,'Plant Total by Account'!$H$1=2),"EKWRA","")</f>
        <v>EKWRA</v>
      </c>
    </row>
    <row r="395" spans="1:29" ht="12.75" customHeight="1" x14ac:dyDescent="0.2">
      <c r="A395" s="39" t="s">
        <v>2919</v>
      </c>
      <c r="B395" s="45" t="s">
        <v>499</v>
      </c>
      <c r="C395" s="40" t="s">
        <v>3333</v>
      </c>
      <c r="D395" s="53">
        <v>24432.82</v>
      </c>
      <c r="E395" s="53">
        <v>76644.459999999992</v>
      </c>
      <c r="F395" s="53">
        <v>614750.99999999988</v>
      </c>
      <c r="G395" s="578">
        <f t="shared" si="59"/>
        <v>715828.27999999991</v>
      </c>
      <c r="H395" s="41"/>
      <c r="I395" s="41"/>
      <c r="J395" s="41"/>
      <c r="K395" s="41">
        <f t="shared" si="53"/>
        <v>24432.82</v>
      </c>
      <c r="L395" s="41">
        <f t="shared" si="54"/>
        <v>76644.459999999992</v>
      </c>
      <c r="M395" s="41">
        <f t="shared" si="55"/>
        <v>614750.99999999988</v>
      </c>
      <c r="N395" s="363">
        <f t="shared" si="60"/>
        <v>0</v>
      </c>
      <c r="O395" s="43" t="s">
        <v>3309</v>
      </c>
      <c r="P395" s="43"/>
      <c r="R395" s="41">
        <f t="shared" si="56"/>
        <v>0</v>
      </c>
      <c r="S395" s="41">
        <f t="shared" si="57"/>
        <v>0</v>
      </c>
      <c r="T395" s="41">
        <f t="shared" si="58"/>
        <v>0</v>
      </c>
      <c r="U395" s="41"/>
      <c r="V395" s="44" t="str">
        <f>IF($P395="High",$S395,IF($P395="Mix",SUMIF('High_Low Voltage Mix Summary'!$B$10:$B$17,$B582,'High_Low Voltage Mix Summary'!$D$10:$D$17),""))</f>
        <v/>
      </c>
      <c r="W395" s="44" t="str">
        <f>IF($P395="Low",$S395,IF($P395="Mix",SUMIF('High_Low Voltage Mix Summary'!$B$10:$B$17,$B582,'High_Low Voltage Mix Summary'!$E$10:$E$17),""))</f>
        <v/>
      </c>
      <c r="X395" s="44" t="str">
        <f>IF($P395="High",$T395,IF($P395="Mix",SUMIF('High_Low Voltage Mix Summary'!$B$10:$B$17,$B582,'High_Low Voltage Mix Summary'!$F$10:$F$17),""))</f>
        <v/>
      </c>
      <c r="Y395" s="44" t="str">
        <f>IF($P395="Low",$T395,IF($P395="Mix",SUMIF('High_Low Voltage Mix Summary'!$B$10:$B$17,$B582,'High_Low Voltage Mix Summary'!$G$10:$G$17),""))</f>
        <v/>
      </c>
      <c r="Z395" s="44" t="str">
        <f>IF(OR($P395="High",$P395="Low"),"",IF($P395="Mix",SUMIF('High_Low Voltage Mix Summary'!$B$10:$B$17,$B582,'High_Low Voltage Mix Summary'!$H$10:$H$17),""))</f>
        <v/>
      </c>
      <c r="AB395" s="49">
        <f>SUMIF('Antelope Bailey Split BA'!$B$7:$B$29,B395,'Antelope Bailey Split BA'!$C$7:$C$29)</f>
        <v>0</v>
      </c>
      <c r="AC395" s="49" t="str">
        <f>IF(AND(AB395=1,'Plant Total by Account'!$H$1=2),"EKWRA","")</f>
        <v/>
      </c>
    </row>
    <row r="396" spans="1:29" x14ac:dyDescent="0.2">
      <c r="A396" s="39" t="s">
        <v>2920</v>
      </c>
      <c r="B396" s="45" t="s">
        <v>501</v>
      </c>
      <c r="C396" s="40" t="s">
        <v>3334</v>
      </c>
      <c r="D396" s="53">
        <v>4375.93</v>
      </c>
      <c r="E396" s="53">
        <v>6749.1</v>
      </c>
      <c r="F396" s="53">
        <v>253580.23999999996</v>
      </c>
      <c r="G396" s="578">
        <f t="shared" si="59"/>
        <v>264705.26999999996</v>
      </c>
      <c r="H396" s="41"/>
      <c r="I396" s="41"/>
      <c r="J396" s="41"/>
      <c r="K396" s="41">
        <f t="shared" si="53"/>
        <v>4375.93</v>
      </c>
      <c r="L396" s="41">
        <f t="shared" si="54"/>
        <v>6749.1</v>
      </c>
      <c r="M396" s="41">
        <f t="shared" si="55"/>
        <v>253580.23999999996</v>
      </c>
      <c r="N396" s="363">
        <f t="shared" si="60"/>
        <v>0</v>
      </c>
      <c r="O396" s="43" t="s">
        <v>3309</v>
      </c>
      <c r="P396" s="43"/>
      <c r="R396" s="41">
        <f t="shared" si="56"/>
        <v>0</v>
      </c>
      <c r="S396" s="41">
        <f t="shared" si="57"/>
        <v>0</v>
      </c>
      <c r="T396" s="41">
        <f t="shared" si="58"/>
        <v>0</v>
      </c>
      <c r="U396" s="41"/>
      <c r="V396" s="44" t="str">
        <f>IF($P396="High",$S396,IF($P396="Mix",SUMIF('High_Low Voltage Mix Summary'!$B$10:$B$17,$B265,'High_Low Voltage Mix Summary'!$D$10:$D$17),""))</f>
        <v/>
      </c>
      <c r="W396" s="44" t="str">
        <f>IF($P396="Low",$S396,IF($P396="Mix",SUMIF('High_Low Voltage Mix Summary'!$B$10:$B$17,$B265,'High_Low Voltage Mix Summary'!$E$10:$E$17),""))</f>
        <v/>
      </c>
      <c r="X396" s="44" t="str">
        <f>IF($P396="High",$T396,IF($P396="Mix",SUMIF('High_Low Voltage Mix Summary'!$B$10:$B$17,$B265,'High_Low Voltage Mix Summary'!$F$10:$F$17),""))</f>
        <v/>
      </c>
      <c r="Y396" s="44" t="str">
        <f>IF($P396="Low",$T396,IF($P396="Mix",SUMIF('High_Low Voltage Mix Summary'!$B$10:$B$17,$B265,'High_Low Voltage Mix Summary'!$G$10:$G$17),""))</f>
        <v/>
      </c>
      <c r="Z396" s="44" t="str">
        <f>IF(OR($P396="High",$P396="Low"),"",IF($P396="Mix",SUMIF('High_Low Voltage Mix Summary'!$B$10:$B$17,$B265,'High_Low Voltage Mix Summary'!$H$10:$H$17),""))</f>
        <v/>
      </c>
      <c r="AB396" s="49">
        <f>SUMIF('Antelope Bailey Split BA'!$B$7:$B$29,B396,'Antelope Bailey Split BA'!$C$7:$C$29)</f>
        <v>0</v>
      </c>
      <c r="AC396" s="49" t="str">
        <f>IF(AND(AB396=1,'Plant Total by Account'!$H$1=2),"EKWRA","")</f>
        <v/>
      </c>
    </row>
    <row r="397" spans="1:29" ht="12.75" customHeight="1" x14ac:dyDescent="0.2">
      <c r="A397" s="39" t="s">
        <v>2921</v>
      </c>
      <c r="B397" s="45" t="s">
        <v>502</v>
      </c>
      <c r="C397" s="40" t="s">
        <v>3334</v>
      </c>
      <c r="D397" s="53">
        <v>2213.41</v>
      </c>
      <c r="E397" s="53">
        <v>10803.39</v>
      </c>
      <c r="F397" s="53">
        <v>3132476.6800000016</v>
      </c>
      <c r="G397" s="578">
        <f t="shared" si="59"/>
        <v>3145493.4800000014</v>
      </c>
      <c r="H397" s="41"/>
      <c r="I397" s="41"/>
      <c r="J397" s="41"/>
      <c r="K397" s="41">
        <f t="shared" si="53"/>
        <v>2213.41</v>
      </c>
      <c r="L397" s="41">
        <f t="shared" si="54"/>
        <v>10803.39</v>
      </c>
      <c r="M397" s="41">
        <f t="shared" si="55"/>
        <v>3132476.6800000016</v>
      </c>
      <c r="N397" s="363">
        <f t="shared" si="60"/>
        <v>0</v>
      </c>
      <c r="O397" s="43" t="s">
        <v>3309</v>
      </c>
      <c r="P397" s="43"/>
      <c r="R397" s="41">
        <f t="shared" si="56"/>
        <v>0</v>
      </c>
      <c r="S397" s="41">
        <f t="shared" si="57"/>
        <v>0</v>
      </c>
      <c r="T397" s="41">
        <f t="shared" si="58"/>
        <v>0</v>
      </c>
      <c r="U397" s="41"/>
      <c r="V397" s="44" t="str">
        <f>IF($P397="High",$S397,IF($P397="Mix",SUMIF('High_Low Voltage Mix Summary'!$B$10:$B$17,$B266,'High_Low Voltage Mix Summary'!$D$10:$D$17),""))</f>
        <v/>
      </c>
      <c r="W397" s="44" t="str">
        <f>IF($P397="Low",$S397,IF($P397="Mix",SUMIF('High_Low Voltage Mix Summary'!$B$10:$B$17,$B266,'High_Low Voltage Mix Summary'!$E$10:$E$17),""))</f>
        <v/>
      </c>
      <c r="X397" s="44" t="str">
        <f>IF($P397="High",$T397,IF($P397="Mix",SUMIF('High_Low Voltage Mix Summary'!$B$10:$B$17,$B266,'High_Low Voltage Mix Summary'!$F$10:$F$17),""))</f>
        <v/>
      </c>
      <c r="Y397" s="44" t="str">
        <f>IF($P397="Low",$T397,IF($P397="Mix",SUMIF('High_Low Voltage Mix Summary'!$B$10:$B$17,$B266,'High_Low Voltage Mix Summary'!$G$10:$G$17),""))</f>
        <v/>
      </c>
      <c r="Z397" s="44" t="str">
        <f>IF(OR($P397="High",$P397="Low"),"",IF($P397="Mix",SUMIF('High_Low Voltage Mix Summary'!$B$10:$B$17,$B266,'High_Low Voltage Mix Summary'!$H$10:$H$17),""))</f>
        <v/>
      </c>
      <c r="AB397" s="49">
        <f>SUMIF('Antelope Bailey Split BA'!$B$7:$B$29,B397,'Antelope Bailey Split BA'!$C$7:$C$29)</f>
        <v>0</v>
      </c>
      <c r="AC397" s="49" t="str">
        <f>IF(AND(AB397=1,'Plant Total by Account'!$H$1=2),"EKWRA","")</f>
        <v/>
      </c>
    </row>
    <row r="398" spans="1:29" ht="12.75" customHeight="1" x14ac:dyDescent="0.2">
      <c r="A398" s="39" t="s">
        <v>2922</v>
      </c>
      <c r="B398" s="45" t="s">
        <v>503</v>
      </c>
      <c r="C398" s="40" t="s">
        <v>3334</v>
      </c>
      <c r="D398" s="53">
        <v>50502.68</v>
      </c>
      <c r="E398" s="53">
        <v>157378.82</v>
      </c>
      <c r="F398" s="53">
        <v>8541769.6600000039</v>
      </c>
      <c r="G398" s="578">
        <f t="shared" si="59"/>
        <v>8749651.1600000039</v>
      </c>
      <c r="H398" s="41"/>
      <c r="I398" s="41"/>
      <c r="J398" s="41"/>
      <c r="K398" s="41">
        <f t="shared" ref="K398:K461" si="61">D398</f>
        <v>50502.68</v>
      </c>
      <c r="L398" s="41">
        <f t="shared" ref="L398:L461" si="62">E398</f>
        <v>157378.82</v>
      </c>
      <c r="M398" s="41">
        <f t="shared" ref="M398:M461" si="63">F398</f>
        <v>8541769.6600000039</v>
      </c>
      <c r="N398" s="363">
        <f t="shared" si="60"/>
        <v>0</v>
      </c>
      <c r="O398" s="43" t="s">
        <v>3309</v>
      </c>
      <c r="P398" s="43"/>
      <c r="R398" s="41">
        <f t="shared" si="56"/>
        <v>0</v>
      </c>
      <c r="S398" s="41">
        <f t="shared" si="57"/>
        <v>0</v>
      </c>
      <c r="T398" s="41">
        <f t="shared" si="58"/>
        <v>0</v>
      </c>
      <c r="U398" s="41"/>
      <c r="V398" s="44" t="str">
        <f>IF($P398="High",$S398,IF($P398="Mix",SUMIF('High_Low Voltage Mix Summary'!$B$10:$B$17,$B267,'High_Low Voltage Mix Summary'!$D$10:$D$17),""))</f>
        <v/>
      </c>
      <c r="W398" s="44" t="str">
        <f>IF($P398="Low",$S398,IF($P398="Mix",SUMIF('High_Low Voltage Mix Summary'!$B$10:$B$17,$B267,'High_Low Voltage Mix Summary'!$E$10:$E$17),""))</f>
        <v/>
      </c>
      <c r="X398" s="44" t="str">
        <f>IF($P398="High",$T398,IF($P398="Mix",SUMIF('High_Low Voltage Mix Summary'!$B$10:$B$17,$B267,'High_Low Voltage Mix Summary'!$F$10:$F$17),""))</f>
        <v/>
      </c>
      <c r="Y398" s="44" t="str">
        <f>IF($P398="Low",$T398,IF($P398="Mix",SUMIF('High_Low Voltage Mix Summary'!$B$10:$B$17,$B267,'High_Low Voltage Mix Summary'!$G$10:$G$17),""))</f>
        <v/>
      </c>
      <c r="Z398" s="44" t="str">
        <f>IF(OR($P398="High",$P398="Low"),"",IF($P398="Mix",SUMIF('High_Low Voltage Mix Summary'!$B$10:$B$17,$B267,'High_Low Voltage Mix Summary'!$H$10:$H$17),""))</f>
        <v/>
      </c>
      <c r="AB398" s="49">
        <f>SUMIF('Antelope Bailey Split BA'!$B$7:$B$29,B398,'Antelope Bailey Split BA'!$C$7:$C$29)</f>
        <v>0</v>
      </c>
      <c r="AC398" s="49" t="str">
        <f>IF(AND(AB398=1,'Plant Total by Account'!$H$1=2),"EKWRA","")</f>
        <v/>
      </c>
    </row>
    <row r="399" spans="1:29" x14ac:dyDescent="0.2">
      <c r="A399" s="39" t="s">
        <v>2923</v>
      </c>
      <c r="B399" s="45" t="s">
        <v>504</v>
      </c>
      <c r="C399" s="40" t="s">
        <v>3334</v>
      </c>
      <c r="D399" s="53">
        <v>44272.65</v>
      </c>
      <c r="E399" s="53">
        <v>119219.93</v>
      </c>
      <c r="F399" s="53">
        <v>2644326.9400000009</v>
      </c>
      <c r="G399" s="578">
        <f t="shared" si="59"/>
        <v>2807819.5200000009</v>
      </c>
      <c r="H399" s="41"/>
      <c r="I399" s="41"/>
      <c r="J399" s="41"/>
      <c r="K399" s="41">
        <f t="shared" si="61"/>
        <v>44272.65</v>
      </c>
      <c r="L399" s="41">
        <f t="shared" si="62"/>
        <v>119219.93</v>
      </c>
      <c r="M399" s="41">
        <f t="shared" si="63"/>
        <v>2644326.9400000009</v>
      </c>
      <c r="N399" s="363">
        <f t="shared" si="60"/>
        <v>0</v>
      </c>
      <c r="O399" s="43" t="s">
        <v>3309</v>
      </c>
      <c r="P399" s="43"/>
      <c r="R399" s="41">
        <f t="shared" si="56"/>
        <v>0</v>
      </c>
      <c r="S399" s="41">
        <f t="shared" si="57"/>
        <v>0</v>
      </c>
      <c r="T399" s="41">
        <f t="shared" si="58"/>
        <v>0</v>
      </c>
      <c r="U399" s="41"/>
      <c r="V399" s="44" t="str">
        <f>IF($P399="High",$S399,IF($P399="Mix",SUMIF('High_Low Voltage Mix Summary'!$B$10:$B$17,$B268,'High_Low Voltage Mix Summary'!$D$10:$D$17),""))</f>
        <v/>
      </c>
      <c r="W399" s="44" t="str">
        <f>IF($P399="Low",$S399,IF($P399="Mix",SUMIF('High_Low Voltage Mix Summary'!$B$10:$B$17,$B268,'High_Low Voltage Mix Summary'!$E$10:$E$17),""))</f>
        <v/>
      </c>
      <c r="X399" s="44" t="str">
        <f>IF($P399="High",$T399,IF($P399="Mix",SUMIF('High_Low Voltage Mix Summary'!$B$10:$B$17,$B268,'High_Low Voltage Mix Summary'!$F$10:$F$17),""))</f>
        <v/>
      </c>
      <c r="Y399" s="44" t="str">
        <f>IF($P399="Low",$T399,IF($P399="Mix",SUMIF('High_Low Voltage Mix Summary'!$B$10:$B$17,$B268,'High_Low Voltage Mix Summary'!$G$10:$G$17),""))</f>
        <v/>
      </c>
      <c r="Z399" s="44" t="str">
        <f>IF(OR($P399="High",$P399="Low"),"",IF($P399="Mix",SUMIF('High_Low Voltage Mix Summary'!$B$10:$B$17,$B268,'High_Low Voltage Mix Summary'!$H$10:$H$17),""))</f>
        <v/>
      </c>
      <c r="AB399" s="49">
        <f>SUMIF('Antelope Bailey Split BA'!$B$7:$B$29,B399,'Antelope Bailey Split BA'!$C$7:$C$29)</f>
        <v>0</v>
      </c>
      <c r="AC399" s="49" t="str">
        <f>IF(AND(AB399=1,'Plant Total by Account'!$H$1=2),"EKWRA","")</f>
        <v/>
      </c>
    </row>
    <row r="400" spans="1:29" x14ac:dyDescent="0.2">
      <c r="A400" s="39" t="s">
        <v>2924</v>
      </c>
      <c r="B400" s="45" t="s">
        <v>505</v>
      </c>
      <c r="C400" s="40" t="s">
        <v>3334</v>
      </c>
      <c r="D400" s="53">
        <v>9947.26</v>
      </c>
      <c r="E400" s="53">
        <v>77021.289999999994</v>
      </c>
      <c r="F400" s="53">
        <v>1439688.4100000006</v>
      </c>
      <c r="G400" s="578">
        <f t="shared" si="59"/>
        <v>1526656.9600000007</v>
      </c>
      <c r="H400" s="41"/>
      <c r="I400" s="41"/>
      <c r="J400" s="41"/>
      <c r="K400" s="41">
        <f t="shared" si="61"/>
        <v>9947.26</v>
      </c>
      <c r="L400" s="41">
        <f t="shared" si="62"/>
        <v>77021.289999999994</v>
      </c>
      <c r="M400" s="41">
        <f t="shared" si="63"/>
        <v>1439688.4100000006</v>
      </c>
      <c r="N400" s="363">
        <f t="shared" si="60"/>
        <v>0</v>
      </c>
      <c r="O400" s="43" t="s">
        <v>3309</v>
      </c>
      <c r="P400" s="43"/>
      <c r="R400" s="41">
        <f t="shared" si="56"/>
        <v>0</v>
      </c>
      <c r="S400" s="41">
        <f t="shared" si="57"/>
        <v>0</v>
      </c>
      <c r="T400" s="41">
        <f t="shared" si="58"/>
        <v>0</v>
      </c>
      <c r="U400" s="41"/>
      <c r="V400" s="44" t="str">
        <f>IF($P400="High",$S400,IF($P400="Mix",SUMIF('High_Low Voltage Mix Summary'!$B$10:$B$17,$B269,'High_Low Voltage Mix Summary'!$D$10:$D$17),""))</f>
        <v/>
      </c>
      <c r="W400" s="44" t="str">
        <f>IF($P400="Low",$S400,IF($P400="Mix",SUMIF('High_Low Voltage Mix Summary'!$B$10:$B$17,$B269,'High_Low Voltage Mix Summary'!$E$10:$E$17),""))</f>
        <v/>
      </c>
      <c r="X400" s="44" t="str">
        <f>IF($P400="High",$T400,IF($P400="Mix",SUMIF('High_Low Voltage Mix Summary'!$B$10:$B$17,$B269,'High_Low Voltage Mix Summary'!$F$10:$F$17),""))</f>
        <v/>
      </c>
      <c r="Y400" s="44" t="str">
        <f>IF($P400="Low",$T400,IF($P400="Mix",SUMIF('High_Low Voltage Mix Summary'!$B$10:$B$17,$B269,'High_Low Voltage Mix Summary'!$G$10:$G$17),""))</f>
        <v/>
      </c>
      <c r="Z400" s="44" t="str">
        <f>IF(OR($P400="High",$P400="Low"),"",IF($P400="Mix",SUMIF('High_Low Voltage Mix Summary'!$B$10:$B$17,$B269,'High_Low Voltage Mix Summary'!$H$10:$H$17),""))</f>
        <v/>
      </c>
      <c r="AB400" s="49">
        <f>SUMIF('Antelope Bailey Split BA'!$B$7:$B$29,B400,'Antelope Bailey Split BA'!$C$7:$C$29)</f>
        <v>0</v>
      </c>
      <c r="AC400" s="49" t="str">
        <f>IF(AND(AB400=1,'Plant Total by Account'!$H$1=2),"EKWRA","")</f>
        <v/>
      </c>
    </row>
    <row r="401" spans="1:29" x14ac:dyDescent="0.2">
      <c r="A401" s="39" t="s">
        <v>2925</v>
      </c>
      <c r="B401" s="45" t="s">
        <v>526</v>
      </c>
      <c r="C401" s="40" t="s">
        <v>3334</v>
      </c>
      <c r="D401" s="53">
        <v>0</v>
      </c>
      <c r="E401" s="53">
        <v>7455.31</v>
      </c>
      <c r="F401" s="53">
        <v>0</v>
      </c>
      <c r="G401" s="578">
        <f t="shared" si="59"/>
        <v>7455.31</v>
      </c>
      <c r="H401" s="41"/>
      <c r="I401" s="41"/>
      <c r="J401" s="41"/>
      <c r="K401" s="41">
        <f t="shared" si="61"/>
        <v>0</v>
      </c>
      <c r="L401" s="41">
        <f t="shared" si="62"/>
        <v>7455.31</v>
      </c>
      <c r="M401" s="41">
        <f t="shared" si="63"/>
        <v>0</v>
      </c>
      <c r="N401" s="363">
        <f t="shared" si="60"/>
        <v>0</v>
      </c>
      <c r="O401" s="43" t="s">
        <v>3309</v>
      </c>
      <c r="P401" s="43"/>
      <c r="R401" s="41">
        <f t="shared" si="56"/>
        <v>0</v>
      </c>
      <c r="S401" s="41">
        <f t="shared" si="57"/>
        <v>0</v>
      </c>
      <c r="T401" s="41">
        <f t="shared" si="58"/>
        <v>0</v>
      </c>
      <c r="U401" s="41"/>
      <c r="V401" s="44" t="str">
        <f>IF($P401="High",$S401,IF($P401="Mix",SUMIF('High_Low Voltage Mix Summary'!$B$10:$B$17,$B270,'High_Low Voltage Mix Summary'!$D$10:$D$17),""))</f>
        <v/>
      </c>
      <c r="W401" s="44" t="str">
        <f>IF($P401="Low",$S401,IF($P401="Mix",SUMIF('High_Low Voltage Mix Summary'!$B$10:$B$17,$B270,'High_Low Voltage Mix Summary'!$E$10:$E$17),""))</f>
        <v/>
      </c>
      <c r="X401" s="44" t="str">
        <f>IF($P401="High",$T401,IF($P401="Mix",SUMIF('High_Low Voltage Mix Summary'!$B$10:$B$17,$B270,'High_Low Voltage Mix Summary'!$F$10:$F$17),""))</f>
        <v/>
      </c>
      <c r="Y401" s="44" t="str">
        <f>IF($P401="Low",$T401,IF($P401="Mix",SUMIF('High_Low Voltage Mix Summary'!$B$10:$B$17,$B270,'High_Low Voltage Mix Summary'!$G$10:$G$17),""))</f>
        <v/>
      </c>
      <c r="Z401" s="44" t="str">
        <f>IF(OR($P401="High",$P401="Low"),"",IF($P401="Mix",SUMIF('High_Low Voltage Mix Summary'!$B$10:$B$17,$B270,'High_Low Voltage Mix Summary'!$H$10:$H$17),""))</f>
        <v/>
      </c>
      <c r="AB401" s="49">
        <f>SUMIF('Antelope Bailey Split BA'!$B$7:$B$29,B401,'Antelope Bailey Split BA'!$C$7:$C$29)</f>
        <v>0</v>
      </c>
      <c r="AC401" s="49" t="str">
        <f>IF(AND(AB401=1,'Plant Total by Account'!$H$1=2),"EKWRA","")</f>
        <v/>
      </c>
    </row>
    <row r="402" spans="1:29" x14ac:dyDescent="0.2">
      <c r="A402" s="39" t="s">
        <v>2926</v>
      </c>
      <c r="B402" s="45" t="s">
        <v>527</v>
      </c>
      <c r="C402" s="40" t="s">
        <v>3334</v>
      </c>
      <c r="D402" s="53">
        <v>0</v>
      </c>
      <c r="E402" s="53">
        <v>0</v>
      </c>
      <c r="F402" s="53">
        <v>293254.44</v>
      </c>
      <c r="G402" s="578">
        <f t="shared" si="59"/>
        <v>293254.44</v>
      </c>
      <c r="H402" s="41"/>
      <c r="I402" s="41"/>
      <c r="J402" s="41"/>
      <c r="K402" s="41">
        <f t="shared" si="61"/>
        <v>0</v>
      </c>
      <c r="L402" s="41">
        <f t="shared" si="62"/>
        <v>0</v>
      </c>
      <c r="M402" s="41">
        <f t="shared" si="63"/>
        <v>293254.44</v>
      </c>
      <c r="N402" s="363">
        <f t="shared" si="60"/>
        <v>0</v>
      </c>
      <c r="O402" s="43" t="s">
        <v>3309</v>
      </c>
      <c r="P402" s="43"/>
      <c r="R402" s="41">
        <f t="shared" si="56"/>
        <v>0</v>
      </c>
      <c r="S402" s="41">
        <f t="shared" si="57"/>
        <v>0</v>
      </c>
      <c r="T402" s="41">
        <f t="shared" si="58"/>
        <v>0</v>
      </c>
      <c r="U402" s="41"/>
      <c r="V402" s="44" t="str">
        <f>IF($P402="High",$S402,IF($P402="Mix",SUMIF('High_Low Voltage Mix Summary'!$B$10:$B$17,$B271,'High_Low Voltage Mix Summary'!$D$10:$D$17),""))</f>
        <v/>
      </c>
      <c r="W402" s="44" t="str">
        <f>IF($P402="Low",$S402,IF($P402="Mix",SUMIF('High_Low Voltage Mix Summary'!$B$10:$B$17,$B271,'High_Low Voltage Mix Summary'!$E$10:$E$17),""))</f>
        <v/>
      </c>
      <c r="X402" s="44" t="str">
        <f>IF($P402="High",$T402,IF($P402="Mix",SUMIF('High_Low Voltage Mix Summary'!$B$10:$B$17,$B271,'High_Low Voltage Mix Summary'!$F$10:$F$17),""))</f>
        <v/>
      </c>
      <c r="Y402" s="44" t="str">
        <f>IF($P402="Low",$T402,IF($P402="Mix",SUMIF('High_Low Voltage Mix Summary'!$B$10:$B$17,$B271,'High_Low Voltage Mix Summary'!$G$10:$G$17),""))</f>
        <v/>
      </c>
      <c r="Z402" s="44" t="str">
        <f>IF(OR($P402="High",$P402="Low"),"",IF($P402="Mix",SUMIF('High_Low Voltage Mix Summary'!$B$10:$B$17,$B271,'High_Low Voltage Mix Summary'!$H$10:$H$17),""))</f>
        <v/>
      </c>
      <c r="AB402" s="49">
        <f>SUMIF('Antelope Bailey Split BA'!$B$7:$B$29,B402,'Antelope Bailey Split BA'!$C$7:$C$29)</f>
        <v>0</v>
      </c>
      <c r="AC402" s="49" t="str">
        <f>IF(AND(AB402=1,'Plant Total by Account'!$H$1=2),"EKWRA","")</f>
        <v/>
      </c>
    </row>
    <row r="403" spans="1:29" ht="12.75" customHeight="1" x14ac:dyDescent="0.2">
      <c r="A403" s="39" t="s">
        <v>2927</v>
      </c>
      <c r="B403" s="45" t="s">
        <v>528</v>
      </c>
      <c r="C403" s="40" t="s">
        <v>3334</v>
      </c>
      <c r="D403" s="53">
        <v>290530.98</v>
      </c>
      <c r="E403" s="53">
        <v>303058.09000000003</v>
      </c>
      <c r="F403" s="53">
        <v>778785.90000000014</v>
      </c>
      <c r="G403" s="578">
        <f t="shared" si="59"/>
        <v>1372374.9700000002</v>
      </c>
      <c r="H403" s="41"/>
      <c r="I403" s="41"/>
      <c r="J403" s="41"/>
      <c r="K403" s="41">
        <f t="shared" si="61"/>
        <v>290530.98</v>
      </c>
      <c r="L403" s="41">
        <f t="shared" si="62"/>
        <v>303058.09000000003</v>
      </c>
      <c r="M403" s="41">
        <f t="shared" si="63"/>
        <v>778785.90000000014</v>
      </c>
      <c r="N403" s="363">
        <f t="shared" si="60"/>
        <v>0</v>
      </c>
      <c r="O403" s="43" t="s">
        <v>3309</v>
      </c>
      <c r="P403" s="43"/>
      <c r="R403" s="41">
        <f t="shared" si="56"/>
        <v>0</v>
      </c>
      <c r="S403" s="41">
        <f t="shared" si="57"/>
        <v>0</v>
      </c>
      <c r="T403" s="41">
        <f t="shared" si="58"/>
        <v>0</v>
      </c>
      <c r="U403" s="41"/>
      <c r="V403" s="44" t="str">
        <f>IF($P403="High",$S403,IF($P403="Mix",SUMIF('High_Low Voltage Mix Summary'!$B$10:$B$17,$B272,'High_Low Voltage Mix Summary'!$D$10:$D$17),""))</f>
        <v/>
      </c>
      <c r="W403" s="44" t="str">
        <f>IF($P403="Low",$S403,IF($P403="Mix",SUMIF('High_Low Voltage Mix Summary'!$B$10:$B$17,$B272,'High_Low Voltage Mix Summary'!$E$10:$E$17),""))</f>
        <v/>
      </c>
      <c r="X403" s="44" t="str">
        <f>IF($P403="High",$T403,IF($P403="Mix",SUMIF('High_Low Voltage Mix Summary'!$B$10:$B$17,$B272,'High_Low Voltage Mix Summary'!$F$10:$F$17),""))</f>
        <v/>
      </c>
      <c r="Y403" s="44" t="str">
        <f>IF($P403="Low",$T403,IF($P403="Mix",SUMIF('High_Low Voltage Mix Summary'!$B$10:$B$17,$B272,'High_Low Voltage Mix Summary'!$G$10:$G$17),""))</f>
        <v/>
      </c>
      <c r="Z403" s="44" t="str">
        <f>IF(OR($P403="High",$P403="Low"),"",IF($P403="Mix",SUMIF('High_Low Voltage Mix Summary'!$B$10:$B$17,$B272,'High_Low Voltage Mix Summary'!$H$10:$H$17),""))</f>
        <v/>
      </c>
      <c r="AB403" s="49">
        <f>SUMIF('Antelope Bailey Split BA'!$B$7:$B$29,B403,'Antelope Bailey Split BA'!$C$7:$C$29)</f>
        <v>0</v>
      </c>
      <c r="AC403" s="49" t="str">
        <f>IF(AND(AB403=1,'Plant Total by Account'!$H$1=2),"EKWRA","")</f>
        <v/>
      </c>
    </row>
    <row r="404" spans="1:29" x14ac:dyDescent="0.2">
      <c r="A404" s="39" t="s">
        <v>2928</v>
      </c>
      <c r="B404" s="45" t="s">
        <v>529</v>
      </c>
      <c r="C404" s="40" t="s">
        <v>3334</v>
      </c>
      <c r="D404" s="53">
        <v>37678.18</v>
      </c>
      <c r="E404" s="53">
        <v>287807.20999999996</v>
      </c>
      <c r="F404" s="53">
        <v>5130754.0899999971</v>
      </c>
      <c r="G404" s="578">
        <f t="shared" si="59"/>
        <v>5456239.4799999967</v>
      </c>
      <c r="H404" s="41"/>
      <c r="I404" s="41"/>
      <c r="J404" s="41"/>
      <c r="K404" s="41">
        <f t="shared" si="61"/>
        <v>37678.18</v>
      </c>
      <c r="L404" s="41">
        <f t="shared" si="62"/>
        <v>287807.20999999996</v>
      </c>
      <c r="M404" s="41">
        <f t="shared" si="63"/>
        <v>5130754.0899999971</v>
      </c>
      <c r="N404" s="363">
        <f t="shared" si="60"/>
        <v>0</v>
      </c>
      <c r="O404" s="43" t="s">
        <v>3309</v>
      </c>
      <c r="P404" s="43"/>
      <c r="R404" s="41">
        <f t="shared" si="56"/>
        <v>0</v>
      </c>
      <c r="S404" s="41">
        <f t="shared" si="57"/>
        <v>0</v>
      </c>
      <c r="T404" s="41">
        <f t="shared" si="58"/>
        <v>0</v>
      </c>
      <c r="U404" s="41"/>
      <c r="V404" s="44" t="str">
        <f>IF($P404="High",$S404,IF($P404="Mix",SUMIF('High_Low Voltage Mix Summary'!$B$10:$B$17,$B273,'High_Low Voltage Mix Summary'!$D$10:$D$17),""))</f>
        <v/>
      </c>
      <c r="W404" s="44" t="str">
        <f>IF($P404="Low",$S404,IF($P404="Mix",SUMIF('High_Low Voltage Mix Summary'!$B$10:$B$17,$B273,'High_Low Voltage Mix Summary'!$E$10:$E$17),""))</f>
        <v/>
      </c>
      <c r="X404" s="44" t="str">
        <f>IF($P404="High",$T404,IF($P404="Mix",SUMIF('High_Low Voltage Mix Summary'!$B$10:$B$17,$B273,'High_Low Voltage Mix Summary'!$F$10:$F$17),""))</f>
        <v/>
      </c>
      <c r="Y404" s="44" t="str">
        <f>IF($P404="Low",$T404,IF($P404="Mix",SUMIF('High_Low Voltage Mix Summary'!$B$10:$B$17,$B273,'High_Low Voltage Mix Summary'!$G$10:$G$17),""))</f>
        <v/>
      </c>
      <c r="Z404" s="44" t="str">
        <f>IF(OR($P404="High",$P404="Low"),"",IF($P404="Mix",SUMIF('High_Low Voltage Mix Summary'!$B$10:$B$17,$B273,'High_Low Voltage Mix Summary'!$H$10:$H$17),""))</f>
        <v/>
      </c>
      <c r="AB404" s="49">
        <f>SUMIF('Antelope Bailey Split BA'!$B$7:$B$29,B404,'Antelope Bailey Split BA'!$C$7:$C$29)</f>
        <v>0</v>
      </c>
      <c r="AC404" s="49" t="str">
        <f>IF(AND(AB404=1,'Plant Total by Account'!$H$1=2),"EKWRA","")</f>
        <v/>
      </c>
    </row>
    <row r="405" spans="1:29" x14ac:dyDescent="0.2">
      <c r="A405" s="39" t="s">
        <v>2929</v>
      </c>
      <c r="B405" s="45" t="s">
        <v>530</v>
      </c>
      <c r="C405" s="40" t="s">
        <v>3334</v>
      </c>
      <c r="D405" s="53">
        <v>50004.3</v>
      </c>
      <c r="E405" s="53">
        <v>88467.94</v>
      </c>
      <c r="F405" s="53">
        <v>2419879.16</v>
      </c>
      <c r="G405" s="578">
        <f t="shared" si="59"/>
        <v>2558351.4000000004</v>
      </c>
      <c r="H405" s="41"/>
      <c r="I405" s="41"/>
      <c r="J405" s="41"/>
      <c r="K405" s="41">
        <f t="shared" si="61"/>
        <v>50004.3</v>
      </c>
      <c r="L405" s="41">
        <f t="shared" si="62"/>
        <v>88467.94</v>
      </c>
      <c r="M405" s="41">
        <f t="shared" si="63"/>
        <v>2419879.16</v>
      </c>
      <c r="N405" s="363">
        <f t="shared" si="60"/>
        <v>0</v>
      </c>
      <c r="O405" s="43" t="s">
        <v>3309</v>
      </c>
      <c r="P405" s="43"/>
      <c r="R405" s="41">
        <f t="shared" si="56"/>
        <v>0</v>
      </c>
      <c r="S405" s="41">
        <f t="shared" si="57"/>
        <v>0</v>
      </c>
      <c r="T405" s="41">
        <f t="shared" si="58"/>
        <v>0</v>
      </c>
      <c r="U405" s="41"/>
      <c r="V405" s="44" t="str">
        <f>IF($P405="High",$S405,IF($P405="Mix",SUMIF('High_Low Voltage Mix Summary'!$B$10:$B$17,$B274,'High_Low Voltage Mix Summary'!$D$10:$D$17),""))</f>
        <v/>
      </c>
      <c r="W405" s="44" t="str">
        <f>IF($P405="Low",$S405,IF($P405="Mix",SUMIF('High_Low Voltage Mix Summary'!$B$10:$B$17,$B274,'High_Low Voltage Mix Summary'!$E$10:$E$17),""))</f>
        <v/>
      </c>
      <c r="X405" s="44" t="str">
        <f>IF($P405="High",$T405,IF($P405="Mix",SUMIF('High_Low Voltage Mix Summary'!$B$10:$B$17,$B274,'High_Low Voltage Mix Summary'!$F$10:$F$17),""))</f>
        <v/>
      </c>
      <c r="Y405" s="44" t="str">
        <f>IF($P405="Low",$T405,IF($P405="Mix",SUMIF('High_Low Voltage Mix Summary'!$B$10:$B$17,$B274,'High_Low Voltage Mix Summary'!$G$10:$G$17),""))</f>
        <v/>
      </c>
      <c r="Z405" s="44" t="str">
        <f>IF(OR($P405="High",$P405="Low"),"",IF($P405="Mix",SUMIF('High_Low Voltage Mix Summary'!$B$10:$B$17,$B274,'High_Low Voltage Mix Summary'!$H$10:$H$17),""))</f>
        <v/>
      </c>
      <c r="AB405" s="49">
        <f>SUMIF('Antelope Bailey Split BA'!$B$7:$B$29,B405,'Antelope Bailey Split BA'!$C$7:$C$29)</f>
        <v>0</v>
      </c>
      <c r="AC405" s="49" t="str">
        <f>IF(AND(AB405=1,'Plant Total by Account'!$H$1=2),"EKWRA","")</f>
        <v/>
      </c>
    </row>
    <row r="406" spans="1:29" ht="12.75" customHeight="1" x14ac:dyDescent="0.2">
      <c r="A406" s="39" t="s">
        <v>2930</v>
      </c>
      <c r="B406" s="45" t="s">
        <v>531</v>
      </c>
      <c r="C406" s="40" t="s">
        <v>3334</v>
      </c>
      <c r="D406" s="53">
        <v>462.96000000000004</v>
      </c>
      <c r="E406" s="53">
        <v>4953.2900000000009</v>
      </c>
      <c r="F406" s="53">
        <v>198591.17000000004</v>
      </c>
      <c r="G406" s="578">
        <f t="shared" si="59"/>
        <v>204007.42000000004</v>
      </c>
      <c r="H406" s="41"/>
      <c r="I406" s="41"/>
      <c r="J406" s="41"/>
      <c r="K406" s="41">
        <f t="shared" si="61"/>
        <v>462.96000000000004</v>
      </c>
      <c r="L406" s="41">
        <f t="shared" si="62"/>
        <v>4953.2900000000009</v>
      </c>
      <c r="M406" s="41">
        <f t="shared" si="63"/>
        <v>198591.17000000004</v>
      </c>
      <c r="N406" s="363">
        <f t="shared" si="60"/>
        <v>0</v>
      </c>
      <c r="O406" s="43" t="s">
        <v>3309</v>
      </c>
      <c r="P406" s="43"/>
      <c r="R406" s="41">
        <f t="shared" si="56"/>
        <v>0</v>
      </c>
      <c r="S406" s="41">
        <f t="shared" si="57"/>
        <v>0</v>
      </c>
      <c r="T406" s="41">
        <f t="shared" si="58"/>
        <v>0</v>
      </c>
      <c r="U406" s="41"/>
      <c r="V406" s="44" t="str">
        <f>IF($P406="High",$S406,IF($P406="Mix",SUMIF('High_Low Voltage Mix Summary'!$B$10:$B$17,$B275,'High_Low Voltage Mix Summary'!$D$10:$D$17),""))</f>
        <v/>
      </c>
      <c r="W406" s="44" t="str">
        <f>IF($P406="Low",$S406,IF($P406="Mix",SUMIF('High_Low Voltage Mix Summary'!$B$10:$B$17,$B275,'High_Low Voltage Mix Summary'!$E$10:$E$17),""))</f>
        <v/>
      </c>
      <c r="X406" s="44" t="str">
        <f>IF($P406="High",$T406,IF($P406="Mix",SUMIF('High_Low Voltage Mix Summary'!$B$10:$B$17,$B275,'High_Low Voltage Mix Summary'!$F$10:$F$17),""))</f>
        <v/>
      </c>
      <c r="Y406" s="44" t="str">
        <f>IF($P406="Low",$T406,IF($P406="Mix",SUMIF('High_Low Voltage Mix Summary'!$B$10:$B$17,$B275,'High_Low Voltage Mix Summary'!$G$10:$G$17),""))</f>
        <v/>
      </c>
      <c r="Z406" s="44" t="str">
        <f>IF(OR($P406="High",$P406="Low"),"",IF($P406="Mix",SUMIF('High_Low Voltage Mix Summary'!$B$10:$B$17,$B275,'High_Low Voltage Mix Summary'!$H$10:$H$17),""))</f>
        <v/>
      </c>
      <c r="AB406" s="49">
        <f>SUMIF('Antelope Bailey Split BA'!$B$7:$B$29,B406,'Antelope Bailey Split BA'!$C$7:$C$29)</f>
        <v>0</v>
      </c>
      <c r="AC406" s="49" t="str">
        <f>IF(AND(AB406=1,'Plant Total by Account'!$H$1=2),"EKWRA","")</f>
        <v/>
      </c>
    </row>
    <row r="407" spans="1:29" x14ac:dyDescent="0.2">
      <c r="A407" s="39" t="s">
        <v>2931</v>
      </c>
      <c r="B407" s="45" t="s">
        <v>532</v>
      </c>
      <c r="C407" s="40" t="s">
        <v>3334</v>
      </c>
      <c r="D407" s="53">
        <v>33430.65</v>
      </c>
      <c r="E407" s="53">
        <v>110789.26</v>
      </c>
      <c r="F407" s="53">
        <v>4759154.9300000006</v>
      </c>
      <c r="G407" s="578">
        <f t="shared" si="59"/>
        <v>4903374.8400000008</v>
      </c>
      <c r="H407" s="41"/>
      <c r="I407" s="41"/>
      <c r="J407" s="41"/>
      <c r="K407" s="41">
        <f t="shared" si="61"/>
        <v>33430.65</v>
      </c>
      <c r="L407" s="41">
        <f t="shared" si="62"/>
        <v>110789.26</v>
      </c>
      <c r="M407" s="41">
        <f t="shared" si="63"/>
        <v>4759154.9300000006</v>
      </c>
      <c r="N407" s="363">
        <f t="shared" si="60"/>
        <v>0</v>
      </c>
      <c r="O407" s="43" t="s">
        <v>3309</v>
      </c>
      <c r="P407" s="43"/>
      <c r="R407" s="41">
        <f t="shared" si="56"/>
        <v>0</v>
      </c>
      <c r="S407" s="41">
        <f t="shared" si="57"/>
        <v>0</v>
      </c>
      <c r="T407" s="41">
        <f t="shared" si="58"/>
        <v>0</v>
      </c>
      <c r="U407" s="41"/>
      <c r="V407" s="44" t="str">
        <f>IF($P407="High",$S407,IF($P407="Mix",SUMIF('High_Low Voltage Mix Summary'!$B$10:$B$17,$B276,'High_Low Voltage Mix Summary'!$D$10:$D$17),""))</f>
        <v/>
      </c>
      <c r="W407" s="44" t="str">
        <f>IF($P407="Low",$S407,IF($P407="Mix",SUMIF('High_Low Voltage Mix Summary'!$B$10:$B$17,$B276,'High_Low Voltage Mix Summary'!$E$10:$E$17),""))</f>
        <v/>
      </c>
      <c r="X407" s="44" t="str">
        <f>IF($P407="High",$T407,IF($P407="Mix",SUMIF('High_Low Voltage Mix Summary'!$B$10:$B$17,$B276,'High_Low Voltage Mix Summary'!$F$10:$F$17),""))</f>
        <v/>
      </c>
      <c r="Y407" s="44" t="str">
        <f>IF($P407="Low",$T407,IF($P407="Mix",SUMIF('High_Low Voltage Mix Summary'!$B$10:$B$17,$B276,'High_Low Voltage Mix Summary'!$G$10:$G$17),""))</f>
        <v/>
      </c>
      <c r="Z407" s="44" t="str">
        <f>IF(OR($P407="High",$P407="Low"),"",IF($P407="Mix",SUMIF('High_Low Voltage Mix Summary'!$B$10:$B$17,$B276,'High_Low Voltage Mix Summary'!$H$10:$H$17),""))</f>
        <v/>
      </c>
      <c r="AB407" s="49">
        <f>SUMIF('Antelope Bailey Split BA'!$B$7:$B$29,B407,'Antelope Bailey Split BA'!$C$7:$C$29)</f>
        <v>0</v>
      </c>
      <c r="AC407" s="49" t="str">
        <f>IF(AND(AB407=1,'Plant Total by Account'!$H$1=2),"EKWRA","")</f>
        <v/>
      </c>
    </row>
    <row r="408" spans="1:29" x14ac:dyDescent="0.2">
      <c r="A408" s="39" t="s">
        <v>2932</v>
      </c>
      <c r="B408" s="45" t="s">
        <v>533</v>
      </c>
      <c r="C408" s="40" t="s">
        <v>3334</v>
      </c>
      <c r="D408" s="53">
        <v>37664.410000000003</v>
      </c>
      <c r="E408" s="53">
        <v>135581.64000000001</v>
      </c>
      <c r="F408" s="53">
        <v>5891609.1400000025</v>
      </c>
      <c r="G408" s="578">
        <f t="shared" si="59"/>
        <v>6064855.1900000023</v>
      </c>
      <c r="H408" s="41"/>
      <c r="I408" s="41"/>
      <c r="J408" s="41"/>
      <c r="K408" s="41">
        <f t="shared" si="61"/>
        <v>37664.410000000003</v>
      </c>
      <c r="L408" s="41">
        <f t="shared" si="62"/>
        <v>135581.64000000001</v>
      </c>
      <c r="M408" s="41">
        <f t="shared" si="63"/>
        <v>5891609.1400000025</v>
      </c>
      <c r="N408" s="363">
        <f t="shared" si="60"/>
        <v>0</v>
      </c>
      <c r="O408" s="43" t="s">
        <v>3309</v>
      </c>
      <c r="P408" s="43"/>
      <c r="R408" s="41">
        <f t="shared" si="56"/>
        <v>0</v>
      </c>
      <c r="S408" s="41">
        <f t="shared" si="57"/>
        <v>0</v>
      </c>
      <c r="T408" s="41">
        <f t="shared" si="58"/>
        <v>0</v>
      </c>
      <c r="U408" s="41"/>
      <c r="V408" s="44" t="str">
        <f>IF($P408="High",$S408,IF($P408="Mix",SUMIF('High_Low Voltage Mix Summary'!$B$10:$B$17,$B277,'High_Low Voltage Mix Summary'!$D$10:$D$17),""))</f>
        <v/>
      </c>
      <c r="W408" s="44" t="str">
        <f>IF($P408="Low",$S408,IF($P408="Mix",SUMIF('High_Low Voltage Mix Summary'!$B$10:$B$17,$B277,'High_Low Voltage Mix Summary'!$E$10:$E$17),""))</f>
        <v/>
      </c>
      <c r="X408" s="44" t="str">
        <f>IF($P408="High",$T408,IF($P408="Mix",SUMIF('High_Low Voltage Mix Summary'!$B$10:$B$17,$B277,'High_Low Voltage Mix Summary'!$F$10:$F$17),""))</f>
        <v/>
      </c>
      <c r="Y408" s="44" t="str">
        <f>IF($P408="Low",$T408,IF($P408="Mix",SUMIF('High_Low Voltage Mix Summary'!$B$10:$B$17,$B277,'High_Low Voltage Mix Summary'!$G$10:$G$17),""))</f>
        <v/>
      </c>
      <c r="Z408" s="44" t="str">
        <f>IF(OR($P408="High",$P408="Low"),"",IF($P408="Mix",SUMIF('High_Low Voltage Mix Summary'!$B$10:$B$17,$B277,'High_Low Voltage Mix Summary'!$H$10:$H$17),""))</f>
        <v/>
      </c>
      <c r="AB408" s="49">
        <f>SUMIF('Antelope Bailey Split BA'!$B$7:$B$29,B408,'Antelope Bailey Split BA'!$C$7:$C$29)</f>
        <v>0</v>
      </c>
      <c r="AC408" s="49" t="str">
        <f>IF(AND(AB408=1,'Plant Total by Account'!$H$1=2),"EKWRA","")</f>
        <v/>
      </c>
    </row>
    <row r="409" spans="1:29" x14ac:dyDescent="0.2">
      <c r="A409" s="39" t="s">
        <v>2933</v>
      </c>
      <c r="B409" s="45" t="s">
        <v>534</v>
      </c>
      <c r="C409" s="40" t="s">
        <v>3334</v>
      </c>
      <c r="D409" s="53">
        <v>4191.6400000000003</v>
      </c>
      <c r="E409" s="53">
        <v>116903.17</v>
      </c>
      <c r="F409" s="53">
        <v>2134147.38</v>
      </c>
      <c r="G409" s="578">
        <f t="shared" si="59"/>
        <v>2255242.19</v>
      </c>
      <c r="H409" s="41"/>
      <c r="I409" s="41"/>
      <c r="J409" s="41"/>
      <c r="K409" s="41">
        <f t="shared" si="61"/>
        <v>4191.6400000000003</v>
      </c>
      <c r="L409" s="41">
        <f t="shared" si="62"/>
        <v>116903.17</v>
      </c>
      <c r="M409" s="41">
        <f t="shared" si="63"/>
        <v>2134147.38</v>
      </c>
      <c r="N409" s="363">
        <f t="shared" si="60"/>
        <v>0</v>
      </c>
      <c r="O409" s="43" t="s">
        <v>3309</v>
      </c>
      <c r="P409" s="43"/>
      <c r="R409" s="41">
        <f t="shared" si="56"/>
        <v>0</v>
      </c>
      <c r="S409" s="41">
        <f t="shared" si="57"/>
        <v>0</v>
      </c>
      <c r="T409" s="41">
        <f t="shared" si="58"/>
        <v>0</v>
      </c>
      <c r="U409" s="41"/>
      <c r="V409" s="44" t="str">
        <f>IF($P409="High",$S409,IF($P409="Mix",SUMIF('High_Low Voltage Mix Summary'!$B$10:$B$17,$B278,'High_Low Voltage Mix Summary'!$D$10:$D$17),""))</f>
        <v/>
      </c>
      <c r="W409" s="44" t="str">
        <f>IF($P409="Low",$S409,IF($P409="Mix",SUMIF('High_Low Voltage Mix Summary'!$B$10:$B$17,$B278,'High_Low Voltage Mix Summary'!$E$10:$E$17),""))</f>
        <v/>
      </c>
      <c r="X409" s="44" t="str">
        <f>IF($P409="High",$T409,IF($P409="Mix",SUMIF('High_Low Voltage Mix Summary'!$B$10:$B$17,$B278,'High_Low Voltage Mix Summary'!$F$10:$F$17),""))</f>
        <v/>
      </c>
      <c r="Y409" s="44" t="str">
        <f>IF($P409="Low",$T409,IF($P409="Mix",SUMIF('High_Low Voltage Mix Summary'!$B$10:$B$17,$B278,'High_Low Voltage Mix Summary'!$G$10:$G$17),""))</f>
        <v/>
      </c>
      <c r="Z409" s="44" t="str">
        <f>IF(OR($P409="High",$P409="Low"),"",IF($P409="Mix",SUMIF('High_Low Voltage Mix Summary'!$B$10:$B$17,$B278,'High_Low Voltage Mix Summary'!$H$10:$H$17),""))</f>
        <v/>
      </c>
      <c r="AB409" s="49">
        <f>SUMIF('Antelope Bailey Split BA'!$B$7:$B$29,B409,'Antelope Bailey Split BA'!$C$7:$C$29)</f>
        <v>0</v>
      </c>
      <c r="AC409" s="49" t="str">
        <f>IF(AND(AB409=1,'Plant Total by Account'!$H$1=2),"EKWRA","")</f>
        <v/>
      </c>
    </row>
    <row r="410" spans="1:29" x14ac:dyDescent="0.2">
      <c r="A410" s="39" t="s">
        <v>2934</v>
      </c>
      <c r="B410" s="45" t="s">
        <v>535</v>
      </c>
      <c r="C410" s="40" t="s">
        <v>3334</v>
      </c>
      <c r="D410" s="53">
        <v>0</v>
      </c>
      <c r="E410" s="53">
        <v>3719.42</v>
      </c>
      <c r="F410" s="53">
        <v>1271174.7</v>
      </c>
      <c r="G410" s="578">
        <f t="shared" si="59"/>
        <v>1274894.1199999999</v>
      </c>
      <c r="H410" s="41"/>
      <c r="I410" s="41"/>
      <c r="J410" s="41"/>
      <c r="K410" s="41">
        <f t="shared" si="61"/>
        <v>0</v>
      </c>
      <c r="L410" s="41">
        <f t="shared" si="62"/>
        <v>3719.42</v>
      </c>
      <c r="M410" s="41">
        <f t="shared" si="63"/>
        <v>1271174.7</v>
      </c>
      <c r="N410" s="363">
        <f t="shared" si="60"/>
        <v>0</v>
      </c>
      <c r="O410" s="43" t="s">
        <v>3309</v>
      </c>
      <c r="P410" s="43"/>
      <c r="R410" s="41">
        <f t="shared" si="56"/>
        <v>0</v>
      </c>
      <c r="S410" s="41">
        <f t="shared" si="57"/>
        <v>0</v>
      </c>
      <c r="T410" s="41">
        <f t="shared" si="58"/>
        <v>0</v>
      </c>
      <c r="U410" s="41"/>
      <c r="V410" s="44" t="str">
        <f>IF($P410="High",$S410,IF($P410="Mix",SUMIF('High_Low Voltage Mix Summary'!$B$10:$B$17,$B279,'High_Low Voltage Mix Summary'!$D$10:$D$17),""))</f>
        <v/>
      </c>
      <c r="W410" s="44" t="str">
        <f>IF($P410="Low",$S410,IF($P410="Mix",SUMIF('High_Low Voltage Mix Summary'!$B$10:$B$17,$B279,'High_Low Voltage Mix Summary'!$E$10:$E$17),""))</f>
        <v/>
      </c>
      <c r="X410" s="44" t="str">
        <f>IF($P410="High",$T410,IF($P410="Mix",SUMIF('High_Low Voltage Mix Summary'!$B$10:$B$17,$B279,'High_Low Voltage Mix Summary'!$F$10:$F$17),""))</f>
        <v/>
      </c>
      <c r="Y410" s="44" t="str">
        <f>IF($P410="Low",$T410,IF($P410="Mix",SUMIF('High_Low Voltage Mix Summary'!$B$10:$B$17,$B279,'High_Low Voltage Mix Summary'!$G$10:$G$17),""))</f>
        <v/>
      </c>
      <c r="Z410" s="44" t="str">
        <f>IF(OR($P410="High",$P410="Low"),"",IF($P410="Mix",SUMIF('High_Low Voltage Mix Summary'!$B$10:$B$17,$B279,'High_Low Voltage Mix Summary'!$H$10:$H$17),""))</f>
        <v/>
      </c>
      <c r="AB410" s="49">
        <f>SUMIF('Antelope Bailey Split BA'!$B$7:$B$29,B410,'Antelope Bailey Split BA'!$C$7:$C$29)</f>
        <v>0</v>
      </c>
      <c r="AC410" s="49" t="str">
        <f>IF(AND(AB410=1,'Plant Total by Account'!$H$1=2),"EKWRA","")</f>
        <v/>
      </c>
    </row>
    <row r="411" spans="1:29" x14ac:dyDescent="0.2">
      <c r="A411" s="39" t="s">
        <v>2935</v>
      </c>
      <c r="B411" s="45" t="s">
        <v>536</v>
      </c>
      <c r="C411" s="40" t="s">
        <v>3334</v>
      </c>
      <c r="D411" s="53">
        <v>12339.75</v>
      </c>
      <c r="E411" s="53">
        <v>9320.4900000000016</v>
      </c>
      <c r="F411" s="53">
        <v>642025.11</v>
      </c>
      <c r="G411" s="578">
        <f t="shared" si="59"/>
        <v>663685.35</v>
      </c>
      <c r="H411" s="41"/>
      <c r="I411" s="41"/>
      <c r="J411" s="41"/>
      <c r="K411" s="41">
        <f t="shared" si="61"/>
        <v>12339.75</v>
      </c>
      <c r="L411" s="41">
        <f t="shared" si="62"/>
        <v>9320.4900000000016</v>
      </c>
      <c r="M411" s="41">
        <f t="shared" si="63"/>
        <v>642025.11</v>
      </c>
      <c r="N411" s="363">
        <f t="shared" si="60"/>
        <v>0</v>
      </c>
      <c r="O411" s="43" t="s">
        <v>3309</v>
      </c>
      <c r="P411" s="43"/>
      <c r="R411" s="41">
        <f t="shared" si="56"/>
        <v>0</v>
      </c>
      <c r="S411" s="41">
        <f t="shared" si="57"/>
        <v>0</v>
      </c>
      <c r="T411" s="41">
        <f t="shared" si="58"/>
        <v>0</v>
      </c>
      <c r="U411" s="41"/>
      <c r="V411" s="44" t="str">
        <f>IF($P411="High",$S411,IF($P411="Mix",SUMIF('High_Low Voltage Mix Summary'!$B$10:$B$17,$B280,'High_Low Voltage Mix Summary'!$D$10:$D$17),""))</f>
        <v/>
      </c>
      <c r="W411" s="44" t="str">
        <f>IF($P411="Low",$S411,IF($P411="Mix",SUMIF('High_Low Voltage Mix Summary'!$B$10:$B$17,$B280,'High_Low Voltage Mix Summary'!$E$10:$E$17),""))</f>
        <v/>
      </c>
      <c r="X411" s="44" t="str">
        <f>IF($P411="High",$T411,IF($P411="Mix",SUMIF('High_Low Voltage Mix Summary'!$B$10:$B$17,$B280,'High_Low Voltage Mix Summary'!$F$10:$F$17),""))</f>
        <v/>
      </c>
      <c r="Y411" s="44" t="str">
        <f>IF($P411="Low",$T411,IF($P411="Mix",SUMIF('High_Low Voltage Mix Summary'!$B$10:$B$17,$B280,'High_Low Voltage Mix Summary'!$G$10:$G$17),""))</f>
        <v/>
      </c>
      <c r="Z411" s="44" t="str">
        <f>IF(OR($P411="High",$P411="Low"),"",IF($P411="Mix",SUMIF('High_Low Voltage Mix Summary'!$B$10:$B$17,$B280,'High_Low Voltage Mix Summary'!$H$10:$H$17),""))</f>
        <v/>
      </c>
      <c r="AB411" s="49">
        <f>SUMIF('Antelope Bailey Split BA'!$B$7:$B$29,B411,'Antelope Bailey Split BA'!$C$7:$C$29)</f>
        <v>0</v>
      </c>
      <c r="AC411" s="49" t="str">
        <f>IF(AND(AB411=1,'Plant Total by Account'!$H$1=2),"EKWRA","")</f>
        <v/>
      </c>
    </row>
    <row r="412" spans="1:29" ht="12.75" customHeight="1" x14ac:dyDescent="0.2">
      <c r="A412" s="39" t="s">
        <v>2936</v>
      </c>
      <c r="B412" s="45" t="s">
        <v>537</v>
      </c>
      <c r="C412" s="40" t="s">
        <v>3334</v>
      </c>
      <c r="D412" s="53">
        <v>28884.100000000002</v>
      </c>
      <c r="E412" s="53">
        <v>66779.27</v>
      </c>
      <c r="F412" s="53">
        <v>1345011.1899999997</v>
      </c>
      <c r="G412" s="578">
        <f t="shared" si="59"/>
        <v>1440674.5599999998</v>
      </c>
      <c r="H412" s="41"/>
      <c r="I412" s="41"/>
      <c r="J412" s="41"/>
      <c r="K412" s="41">
        <f t="shared" si="61"/>
        <v>28884.100000000002</v>
      </c>
      <c r="L412" s="41">
        <f t="shared" si="62"/>
        <v>66779.27</v>
      </c>
      <c r="M412" s="41">
        <f t="shared" si="63"/>
        <v>1345011.1899999997</v>
      </c>
      <c r="N412" s="363">
        <f t="shared" si="60"/>
        <v>0</v>
      </c>
      <c r="O412" s="43" t="s">
        <v>3309</v>
      </c>
      <c r="P412" s="43"/>
      <c r="R412" s="41">
        <f t="shared" si="56"/>
        <v>0</v>
      </c>
      <c r="S412" s="41">
        <f t="shared" si="57"/>
        <v>0</v>
      </c>
      <c r="T412" s="41">
        <f t="shared" si="58"/>
        <v>0</v>
      </c>
      <c r="U412" s="41"/>
      <c r="V412" s="44" t="str">
        <f>IF($P412="High",$S412,IF($P412="Mix",SUMIF('High_Low Voltage Mix Summary'!$B$10:$B$17,$B281,'High_Low Voltage Mix Summary'!$D$10:$D$17),""))</f>
        <v/>
      </c>
      <c r="W412" s="44" t="str">
        <f>IF($P412="Low",$S412,IF($P412="Mix",SUMIF('High_Low Voltage Mix Summary'!$B$10:$B$17,$B281,'High_Low Voltage Mix Summary'!$E$10:$E$17),""))</f>
        <v/>
      </c>
      <c r="X412" s="44" t="str">
        <f>IF($P412="High",$T412,IF($P412="Mix",SUMIF('High_Low Voltage Mix Summary'!$B$10:$B$17,$B281,'High_Low Voltage Mix Summary'!$F$10:$F$17),""))</f>
        <v/>
      </c>
      <c r="Y412" s="44" t="str">
        <f>IF($P412="Low",$T412,IF($P412="Mix",SUMIF('High_Low Voltage Mix Summary'!$B$10:$B$17,$B281,'High_Low Voltage Mix Summary'!$G$10:$G$17),""))</f>
        <v/>
      </c>
      <c r="Z412" s="44" t="str">
        <f>IF(OR($P412="High",$P412="Low"),"",IF($P412="Mix",SUMIF('High_Low Voltage Mix Summary'!$B$10:$B$17,$B281,'High_Low Voltage Mix Summary'!$H$10:$H$17),""))</f>
        <v/>
      </c>
      <c r="AB412" s="49">
        <f>SUMIF('Antelope Bailey Split BA'!$B$7:$B$29,B412,'Antelope Bailey Split BA'!$C$7:$C$29)</f>
        <v>0</v>
      </c>
      <c r="AC412" s="49" t="str">
        <f>IF(AND(AB412=1,'Plant Total by Account'!$H$1=2),"EKWRA","")</f>
        <v/>
      </c>
    </row>
    <row r="413" spans="1:29" x14ac:dyDescent="0.2">
      <c r="A413" s="39" t="s">
        <v>2937</v>
      </c>
      <c r="B413" s="45" t="s">
        <v>538</v>
      </c>
      <c r="C413" s="40" t="s">
        <v>3334</v>
      </c>
      <c r="D413" s="53">
        <v>144447.12000000002</v>
      </c>
      <c r="E413" s="53">
        <v>136435.37000000002</v>
      </c>
      <c r="F413" s="53">
        <v>5897523.4499999937</v>
      </c>
      <c r="G413" s="578">
        <f t="shared" si="59"/>
        <v>6178405.9399999939</v>
      </c>
      <c r="H413" s="41"/>
      <c r="I413" s="41"/>
      <c r="J413" s="41"/>
      <c r="K413" s="41">
        <f t="shared" si="61"/>
        <v>144447.12000000002</v>
      </c>
      <c r="L413" s="41">
        <f t="shared" si="62"/>
        <v>136435.37000000002</v>
      </c>
      <c r="M413" s="41">
        <f t="shared" si="63"/>
        <v>5897523.4499999937</v>
      </c>
      <c r="N413" s="363">
        <f t="shared" si="60"/>
        <v>0</v>
      </c>
      <c r="O413" s="43" t="s">
        <v>3309</v>
      </c>
      <c r="P413" s="43"/>
      <c r="R413" s="41">
        <f t="shared" si="56"/>
        <v>0</v>
      </c>
      <c r="S413" s="41">
        <f t="shared" si="57"/>
        <v>0</v>
      </c>
      <c r="T413" s="41">
        <f t="shared" si="58"/>
        <v>0</v>
      </c>
      <c r="U413" s="41"/>
      <c r="V413" s="44" t="str">
        <f>IF($P413="High",$S413,IF($P413="Mix",SUMIF('High_Low Voltage Mix Summary'!$B$10:$B$17,$B282,'High_Low Voltage Mix Summary'!$D$10:$D$17),""))</f>
        <v/>
      </c>
      <c r="W413" s="44" t="str">
        <f>IF($P413="Low",$S413,IF($P413="Mix",SUMIF('High_Low Voltage Mix Summary'!$B$10:$B$17,$B282,'High_Low Voltage Mix Summary'!$E$10:$E$17),""))</f>
        <v/>
      </c>
      <c r="X413" s="44" t="str">
        <f>IF($P413="High",$T413,IF($P413="Mix",SUMIF('High_Low Voltage Mix Summary'!$B$10:$B$17,$B282,'High_Low Voltage Mix Summary'!$F$10:$F$17),""))</f>
        <v/>
      </c>
      <c r="Y413" s="44" t="str">
        <f>IF($P413="Low",$T413,IF($P413="Mix",SUMIF('High_Low Voltage Mix Summary'!$B$10:$B$17,$B282,'High_Low Voltage Mix Summary'!$G$10:$G$17),""))</f>
        <v/>
      </c>
      <c r="Z413" s="44" t="str">
        <f>IF(OR($P413="High",$P413="Low"),"",IF($P413="Mix",SUMIF('High_Low Voltage Mix Summary'!$B$10:$B$17,$B282,'High_Low Voltage Mix Summary'!$H$10:$H$17),""))</f>
        <v/>
      </c>
      <c r="AB413" s="49">
        <f>SUMIF('Antelope Bailey Split BA'!$B$7:$B$29,B413,'Antelope Bailey Split BA'!$C$7:$C$29)</f>
        <v>0</v>
      </c>
      <c r="AC413" s="49" t="str">
        <f>IF(AND(AB413=1,'Plant Total by Account'!$H$1=2),"EKWRA","")</f>
        <v/>
      </c>
    </row>
    <row r="414" spans="1:29" x14ac:dyDescent="0.2">
      <c r="A414" s="39" t="s">
        <v>2938</v>
      </c>
      <c r="B414" s="45" t="s">
        <v>539</v>
      </c>
      <c r="C414" s="40" t="s">
        <v>3334</v>
      </c>
      <c r="D414" s="53">
        <v>0</v>
      </c>
      <c r="E414" s="53">
        <v>5404.85</v>
      </c>
      <c r="F414" s="53">
        <v>60093.440000000002</v>
      </c>
      <c r="G414" s="578">
        <f t="shared" si="59"/>
        <v>65498.29</v>
      </c>
      <c r="H414" s="41"/>
      <c r="I414" s="41"/>
      <c r="J414" s="41"/>
      <c r="K414" s="41">
        <f t="shared" si="61"/>
        <v>0</v>
      </c>
      <c r="L414" s="41">
        <f t="shared" si="62"/>
        <v>5404.85</v>
      </c>
      <c r="M414" s="41">
        <f t="shared" si="63"/>
        <v>60093.440000000002</v>
      </c>
      <c r="N414" s="363">
        <f t="shared" si="60"/>
        <v>0</v>
      </c>
      <c r="O414" s="43" t="s">
        <v>3309</v>
      </c>
      <c r="P414" s="43"/>
      <c r="R414" s="41">
        <f t="shared" si="56"/>
        <v>0</v>
      </c>
      <c r="S414" s="41">
        <f t="shared" si="57"/>
        <v>0</v>
      </c>
      <c r="T414" s="41">
        <f t="shared" si="58"/>
        <v>0</v>
      </c>
      <c r="U414" s="41"/>
      <c r="V414" s="44" t="str">
        <f>IF($P414="High",$S414,IF($P414="Mix",SUMIF('High_Low Voltage Mix Summary'!$B$10:$B$17,$B283,'High_Low Voltage Mix Summary'!$D$10:$D$17),""))</f>
        <v/>
      </c>
      <c r="W414" s="44" t="str">
        <f>IF($P414="Low",$S414,IF($P414="Mix",SUMIF('High_Low Voltage Mix Summary'!$B$10:$B$17,$B283,'High_Low Voltage Mix Summary'!$E$10:$E$17),""))</f>
        <v/>
      </c>
      <c r="X414" s="44" t="str">
        <f>IF($P414="High",$T414,IF($P414="Mix",SUMIF('High_Low Voltage Mix Summary'!$B$10:$B$17,$B283,'High_Low Voltage Mix Summary'!$F$10:$F$17),""))</f>
        <v/>
      </c>
      <c r="Y414" s="44" t="str">
        <f>IF($P414="Low",$T414,IF($P414="Mix",SUMIF('High_Low Voltage Mix Summary'!$B$10:$B$17,$B283,'High_Low Voltage Mix Summary'!$G$10:$G$17),""))</f>
        <v/>
      </c>
      <c r="Z414" s="44" t="str">
        <f>IF(OR($P414="High",$P414="Low"),"",IF($P414="Mix",SUMIF('High_Low Voltage Mix Summary'!$B$10:$B$17,$B283,'High_Low Voltage Mix Summary'!$H$10:$H$17),""))</f>
        <v/>
      </c>
      <c r="AB414" s="49">
        <f>SUMIF('Antelope Bailey Split BA'!$B$7:$B$29,B414,'Antelope Bailey Split BA'!$C$7:$C$29)</f>
        <v>0</v>
      </c>
      <c r="AC414" s="49" t="str">
        <f>IF(AND(AB414=1,'Plant Total by Account'!$H$1=2),"EKWRA","")</f>
        <v/>
      </c>
    </row>
    <row r="415" spans="1:29" x14ac:dyDescent="0.2">
      <c r="A415" s="39" t="s">
        <v>2939</v>
      </c>
      <c r="B415" s="45" t="s">
        <v>540</v>
      </c>
      <c r="C415" s="40" t="s">
        <v>3334</v>
      </c>
      <c r="D415" s="53">
        <v>0</v>
      </c>
      <c r="E415" s="53">
        <v>28672.31</v>
      </c>
      <c r="F415" s="53">
        <v>929457.95</v>
      </c>
      <c r="G415" s="578">
        <f t="shared" si="59"/>
        <v>958130.26</v>
      </c>
      <c r="H415" s="41"/>
      <c r="I415" s="41"/>
      <c r="J415" s="41"/>
      <c r="K415" s="41">
        <f t="shared" si="61"/>
        <v>0</v>
      </c>
      <c r="L415" s="41">
        <f t="shared" si="62"/>
        <v>28672.31</v>
      </c>
      <c r="M415" s="41">
        <f t="shared" si="63"/>
        <v>929457.95</v>
      </c>
      <c r="N415" s="363">
        <f t="shared" si="60"/>
        <v>0</v>
      </c>
      <c r="O415" s="43" t="s">
        <v>3309</v>
      </c>
      <c r="P415" s="43"/>
      <c r="R415" s="41">
        <f t="shared" si="56"/>
        <v>0</v>
      </c>
      <c r="S415" s="41">
        <f t="shared" si="57"/>
        <v>0</v>
      </c>
      <c r="T415" s="41">
        <f t="shared" si="58"/>
        <v>0</v>
      </c>
      <c r="U415" s="41"/>
      <c r="V415" s="44" t="str">
        <f>IF($P415="High",$S415,IF($P415="Mix",SUMIF('High_Low Voltage Mix Summary'!$B$10:$B$17,$B284,'High_Low Voltage Mix Summary'!$D$10:$D$17),""))</f>
        <v/>
      </c>
      <c r="W415" s="44" t="str">
        <f>IF($P415="Low",$S415,IF($P415="Mix",SUMIF('High_Low Voltage Mix Summary'!$B$10:$B$17,$B284,'High_Low Voltage Mix Summary'!$E$10:$E$17),""))</f>
        <v/>
      </c>
      <c r="X415" s="44" t="str">
        <f>IF($P415="High",$T415,IF($P415="Mix",SUMIF('High_Low Voltage Mix Summary'!$B$10:$B$17,$B284,'High_Low Voltage Mix Summary'!$F$10:$F$17),""))</f>
        <v/>
      </c>
      <c r="Y415" s="44" t="str">
        <f>IF($P415="Low",$T415,IF($P415="Mix",SUMIF('High_Low Voltage Mix Summary'!$B$10:$B$17,$B284,'High_Low Voltage Mix Summary'!$G$10:$G$17),""))</f>
        <v/>
      </c>
      <c r="Z415" s="44" t="str">
        <f>IF(OR($P415="High",$P415="Low"),"",IF($P415="Mix",SUMIF('High_Low Voltage Mix Summary'!$B$10:$B$17,$B284,'High_Low Voltage Mix Summary'!$H$10:$H$17),""))</f>
        <v/>
      </c>
      <c r="AB415" s="49">
        <f>SUMIF('Antelope Bailey Split BA'!$B$7:$B$29,B415,'Antelope Bailey Split BA'!$C$7:$C$29)</f>
        <v>0</v>
      </c>
      <c r="AC415" s="49" t="str">
        <f>IF(AND(AB415=1,'Plant Total by Account'!$H$1=2),"EKWRA","")</f>
        <v/>
      </c>
    </row>
    <row r="416" spans="1:29" x14ac:dyDescent="0.2">
      <c r="A416" s="39" t="s">
        <v>2940</v>
      </c>
      <c r="B416" s="45" t="s">
        <v>541</v>
      </c>
      <c r="C416" s="40" t="s">
        <v>3334</v>
      </c>
      <c r="D416" s="53">
        <v>28939.940000000002</v>
      </c>
      <c r="E416" s="53">
        <v>289992.58</v>
      </c>
      <c r="F416" s="53">
        <v>6205850.3299999945</v>
      </c>
      <c r="G416" s="578">
        <f t="shared" si="59"/>
        <v>6524782.849999994</v>
      </c>
      <c r="H416" s="41"/>
      <c r="I416" s="41"/>
      <c r="J416" s="41"/>
      <c r="K416" s="41">
        <f t="shared" si="61"/>
        <v>28939.940000000002</v>
      </c>
      <c r="L416" s="41">
        <f t="shared" si="62"/>
        <v>289992.58</v>
      </c>
      <c r="M416" s="41">
        <f t="shared" si="63"/>
        <v>6205850.3299999945</v>
      </c>
      <c r="N416" s="363">
        <f t="shared" si="60"/>
        <v>0</v>
      </c>
      <c r="O416" s="43" t="s">
        <v>3309</v>
      </c>
      <c r="P416" s="43"/>
      <c r="R416" s="41">
        <f t="shared" si="56"/>
        <v>0</v>
      </c>
      <c r="S416" s="41">
        <f t="shared" si="57"/>
        <v>0</v>
      </c>
      <c r="T416" s="41">
        <f t="shared" si="58"/>
        <v>0</v>
      </c>
      <c r="U416" s="41"/>
      <c r="V416" s="44" t="str">
        <f>IF($P416="High",$S416,IF($P416="Mix",SUMIF('High_Low Voltage Mix Summary'!$B$10:$B$17,$B285,'High_Low Voltage Mix Summary'!$D$10:$D$17),""))</f>
        <v/>
      </c>
      <c r="W416" s="44" t="str">
        <f>IF($P416="Low",$S416,IF($P416="Mix",SUMIF('High_Low Voltage Mix Summary'!$B$10:$B$17,$B285,'High_Low Voltage Mix Summary'!$E$10:$E$17),""))</f>
        <v/>
      </c>
      <c r="X416" s="44" t="str">
        <f>IF($P416="High",$T416,IF($P416="Mix",SUMIF('High_Low Voltage Mix Summary'!$B$10:$B$17,$B285,'High_Low Voltage Mix Summary'!$F$10:$F$17),""))</f>
        <v/>
      </c>
      <c r="Y416" s="44" t="str">
        <f>IF($P416="Low",$T416,IF($P416="Mix",SUMIF('High_Low Voltage Mix Summary'!$B$10:$B$17,$B285,'High_Low Voltage Mix Summary'!$G$10:$G$17),""))</f>
        <v/>
      </c>
      <c r="Z416" s="44" t="str">
        <f>IF(OR($P416="High",$P416="Low"),"",IF($P416="Mix",SUMIF('High_Low Voltage Mix Summary'!$B$10:$B$17,$B285,'High_Low Voltage Mix Summary'!$H$10:$H$17),""))</f>
        <v/>
      </c>
      <c r="AB416" s="49">
        <f>SUMIF('Antelope Bailey Split BA'!$B$7:$B$29,B416,'Antelope Bailey Split BA'!$C$7:$C$29)</f>
        <v>0</v>
      </c>
      <c r="AC416" s="49" t="str">
        <f>IF(AND(AB416=1,'Plant Total by Account'!$H$1=2),"EKWRA","")</f>
        <v/>
      </c>
    </row>
    <row r="417" spans="1:29" x14ac:dyDescent="0.2">
      <c r="A417" s="39" t="s">
        <v>2941</v>
      </c>
      <c r="B417" s="45" t="s">
        <v>542</v>
      </c>
      <c r="C417" s="40" t="s">
        <v>3334</v>
      </c>
      <c r="D417" s="53">
        <v>0</v>
      </c>
      <c r="E417" s="53">
        <v>1270</v>
      </c>
      <c r="F417" s="53">
        <v>138890.21</v>
      </c>
      <c r="G417" s="578">
        <f t="shared" si="59"/>
        <v>140160.21</v>
      </c>
      <c r="H417" s="41"/>
      <c r="I417" s="41"/>
      <c r="J417" s="41"/>
      <c r="K417" s="41">
        <f t="shared" si="61"/>
        <v>0</v>
      </c>
      <c r="L417" s="41">
        <f t="shared" si="62"/>
        <v>1270</v>
      </c>
      <c r="M417" s="41">
        <f t="shared" si="63"/>
        <v>138890.21</v>
      </c>
      <c r="N417" s="363">
        <f t="shared" si="60"/>
        <v>0</v>
      </c>
      <c r="O417" s="43" t="s">
        <v>3309</v>
      </c>
      <c r="P417" s="43"/>
      <c r="R417" s="41">
        <f t="shared" si="56"/>
        <v>0</v>
      </c>
      <c r="S417" s="41">
        <f t="shared" si="57"/>
        <v>0</v>
      </c>
      <c r="T417" s="41">
        <f t="shared" si="58"/>
        <v>0</v>
      </c>
      <c r="U417" s="41"/>
      <c r="V417" s="44" t="str">
        <f>IF($P417="High",$S417,IF($P417="Mix",SUMIF('High_Low Voltage Mix Summary'!$B$10:$B$17,$B286,'High_Low Voltage Mix Summary'!$D$10:$D$17),""))</f>
        <v/>
      </c>
      <c r="W417" s="44" t="str">
        <f>IF($P417="Low",$S417,IF($P417="Mix",SUMIF('High_Low Voltage Mix Summary'!$B$10:$B$17,$B286,'High_Low Voltage Mix Summary'!$E$10:$E$17),""))</f>
        <v/>
      </c>
      <c r="X417" s="44" t="str">
        <f>IF($P417="High",$T417,IF($P417="Mix",SUMIF('High_Low Voltage Mix Summary'!$B$10:$B$17,$B286,'High_Low Voltage Mix Summary'!$F$10:$F$17),""))</f>
        <v/>
      </c>
      <c r="Y417" s="44" t="str">
        <f>IF($P417="Low",$T417,IF($P417="Mix",SUMIF('High_Low Voltage Mix Summary'!$B$10:$B$17,$B286,'High_Low Voltage Mix Summary'!$G$10:$G$17),""))</f>
        <v/>
      </c>
      <c r="Z417" s="44" t="str">
        <f>IF(OR($P417="High",$P417="Low"),"",IF($P417="Mix",SUMIF('High_Low Voltage Mix Summary'!$B$10:$B$17,$B286,'High_Low Voltage Mix Summary'!$H$10:$H$17),""))</f>
        <v/>
      </c>
      <c r="AB417" s="49">
        <f>SUMIF('Antelope Bailey Split BA'!$B$7:$B$29,B417,'Antelope Bailey Split BA'!$C$7:$C$29)</f>
        <v>0</v>
      </c>
      <c r="AC417" s="49" t="str">
        <f>IF(AND(AB417=1,'Plant Total by Account'!$H$1=2),"EKWRA","")</f>
        <v/>
      </c>
    </row>
    <row r="418" spans="1:29" x14ac:dyDescent="0.2">
      <c r="A418" s="39" t="s">
        <v>2942</v>
      </c>
      <c r="B418" s="45" t="s">
        <v>543</v>
      </c>
      <c r="C418" s="40" t="s">
        <v>3334</v>
      </c>
      <c r="D418" s="53">
        <v>119259.57</v>
      </c>
      <c r="E418" s="53">
        <v>214808.92999999996</v>
      </c>
      <c r="F418" s="53">
        <v>2216142.02</v>
      </c>
      <c r="G418" s="578">
        <f t="shared" si="59"/>
        <v>2550210.52</v>
      </c>
      <c r="H418" s="41"/>
      <c r="I418" s="41"/>
      <c r="J418" s="41"/>
      <c r="K418" s="41">
        <f t="shared" si="61"/>
        <v>119259.57</v>
      </c>
      <c r="L418" s="41">
        <f t="shared" si="62"/>
        <v>214808.92999999996</v>
      </c>
      <c r="M418" s="41">
        <f t="shared" si="63"/>
        <v>2216142.02</v>
      </c>
      <c r="N418" s="363">
        <f t="shared" si="60"/>
        <v>0</v>
      </c>
      <c r="O418" s="43" t="s">
        <v>3309</v>
      </c>
      <c r="P418" s="43"/>
      <c r="R418" s="41">
        <f t="shared" si="56"/>
        <v>0</v>
      </c>
      <c r="S418" s="41">
        <f t="shared" si="57"/>
        <v>0</v>
      </c>
      <c r="T418" s="41">
        <f t="shared" si="58"/>
        <v>0</v>
      </c>
      <c r="U418" s="41"/>
      <c r="V418" s="44" t="str">
        <f>IF($P418="High",$S418,IF($P418="Mix",SUMIF('High_Low Voltage Mix Summary'!$B$10:$B$17,$B287,'High_Low Voltage Mix Summary'!$D$10:$D$17),""))</f>
        <v/>
      </c>
      <c r="W418" s="44" t="str">
        <f>IF($P418="Low",$S418,IF($P418="Mix",SUMIF('High_Low Voltage Mix Summary'!$B$10:$B$17,$B287,'High_Low Voltage Mix Summary'!$E$10:$E$17),""))</f>
        <v/>
      </c>
      <c r="X418" s="44" t="str">
        <f>IF($P418="High",$T418,IF($P418="Mix",SUMIF('High_Low Voltage Mix Summary'!$B$10:$B$17,$B287,'High_Low Voltage Mix Summary'!$F$10:$F$17),""))</f>
        <v/>
      </c>
      <c r="Y418" s="44" t="str">
        <f>IF($P418="Low",$T418,IF($P418="Mix",SUMIF('High_Low Voltage Mix Summary'!$B$10:$B$17,$B287,'High_Low Voltage Mix Summary'!$G$10:$G$17),""))</f>
        <v/>
      </c>
      <c r="Z418" s="44" t="str">
        <f>IF(OR($P418="High",$P418="Low"),"",IF($P418="Mix",SUMIF('High_Low Voltage Mix Summary'!$B$10:$B$17,$B287,'High_Low Voltage Mix Summary'!$H$10:$H$17),""))</f>
        <v/>
      </c>
      <c r="AB418" s="49">
        <f>SUMIF('Antelope Bailey Split BA'!$B$7:$B$29,B418,'Antelope Bailey Split BA'!$C$7:$C$29)</f>
        <v>0</v>
      </c>
      <c r="AC418" s="49" t="str">
        <f>IF(AND(AB418=1,'Plant Total by Account'!$H$1=2),"EKWRA","")</f>
        <v/>
      </c>
    </row>
    <row r="419" spans="1:29" x14ac:dyDescent="0.2">
      <c r="A419" s="39" t="s">
        <v>2943</v>
      </c>
      <c r="B419" s="45" t="s">
        <v>544</v>
      </c>
      <c r="C419" s="40" t="s">
        <v>3334</v>
      </c>
      <c r="D419" s="53">
        <v>73581.53</v>
      </c>
      <c r="E419" s="53">
        <v>221550.58999999997</v>
      </c>
      <c r="F419" s="53">
        <v>4677824.120000001</v>
      </c>
      <c r="G419" s="578">
        <f t="shared" si="59"/>
        <v>4972956.2400000012</v>
      </c>
      <c r="H419" s="41"/>
      <c r="I419" s="41"/>
      <c r="J419" s="41"/>
      <c r="K419" s="41">
        <f t="shared" si="61"/>
        <v>73581.53</v>
      </c>
      <c r="L419" s="41">
        <f t="shared" si="62"/>
        <v>221550.58999999997</v>
      </c>
      <c r="M419" s="41">
        <f t="shared" si="63"/>
        <v>4677824.120000001</v>
      </c>
      <c r="N419" s="363">
        <f t="shared" si="60"/>
        <v>0</v>
      </c>
      <c r="O419" s="43" t="s">
        <v>3309</v>
      </c>
      <c r="P419" s="43"/>
      <c r="R419" s="41">
        <f t="shared" si="56"/>
        <v>0</v>
      </c>
      <c r="S419" s="41">
        <f t="shared" si="57"/>
        <v>0</v>
      </c>
      <c r="T419" s="41">
        <f t="shared" si="58"/>
        <v>0</v>
      </c>
      <c r="U419" s="41"/>
      <c r="V419" s="44" t="str">
        <f>IF($P419="High",$S419,IF($P419="Mix",SUMIF('High_Low Voltage Mix Summary'!$B$10:$B$17,$B288,'High_Low Voltage Mix Summary'!$D$10:$D$17),""))</f>
        <v/>
      </c>
      <c r="W419" s="44" t="str">
        <f>IF($P419="Low",$S419,IF($P419="Mix",SUMIF('High_Low Voltage Mix Summary'!$B$10:$B$17,$B288,'High_Low Voltage Mix Summary'!$E$10:$E$17),""))</f>
        <v/>
      </c>
      <c r="X419" s="44" t="str">
        <f>IF($P419="High",$T419,IF($P419="Mix",SUMIF('High_Low Voltage Mix Summary'!$B$10:$B$17,$B288,'High_Low Voltage Mix Summary'!$F$10:$F$17),""))</f>
        <v/>
      </c>
      <c r="Y419" s="44" t="str">
        <f>IF($P419="Low",$T419,IF($P419="Mix",SUMIF('High_Low Voltage Mix Summary'!$B$10:$B$17,$B288,'High_Low Voltage Mix Summary'!$G$10:$G$17),""))</f>
        <v/>
      </c>
      <c r="Z419" s="44" t="str">
        <f>IF(OR($P419="High",$P419="Low"),"",IF($P419="Mix",SUMIF('High_Low Voltage Mix Summary'!$B$10:$B$17,$B288,'High_Low Voltage Mix Summary'!$H$10:$H$17),""))</f>
        <v/>
      </c>
      <c r="AB419" s="49">
        <f>SUMIF('Antelope Bailey Split BA'!$B$7:$B$29,B419,'Antelope Bailey Split BA'!$C$7:$C$29)</f>
        <v>0</v>
      </c>
      <c r="AC419" s="49" t="str">
        <f>IF(AND(AB419=1,'Plant Total by Account'!$H$1=2),"EKWRA","")</f>
        <v/>
      </c>
    </row>
    <row r="420" spans="1:29" x14ac:dyDescent="0.2">
      <c r="A420" s="39" t="s">
        <v>2442</v>
      </c>
      <c r="B420" s="45" t="s">
        <v>545</v>
      </c>
      <c r="C420" s="40" t="s">
        <v>3334</v>
      </c>
      <c r="D420" s="53">
        <v>0</v>
      </c>
      <c r="E420" s="53">
        <v>235231.04</v>
      </c>
      <c r="F420" s="53">
        <v>2232856.44</v>
      </c>
      <c r="G420" s="578">
        <f t="shared" si="59"/>
        <v>2468087.48</v>
      </c>
      <c r="H420" s="173"/>
      <c r="I420" s="173"/>
      <c r="J420" s="173"/>
      <c r="K420" s="173">
        <f t="shared" si="61"/>
        <v>0</v>
      </c>
      <c r="L420" s="173">
        <f t="shared" si="62"/>
        <v>235231.04</v>
      </c>
      <c r="M420" s="173">
        <f t="shared" si="63"/>
        <v>2232856.44</v>
      </c>
      <c r="N420" s="363">
        <f t="shared" si="60"/>
        <v>0</v>
      </c>
      <c r="O420" s="43" t="s">
        <v>3309</v>
      </c>
      <c r="P420" s="43"/>
      <c r="R420" s="41">
        <f t="shared" si="56"/>
        <v>0</v>
      </c>
      <c r="S420" s="41">
        <f t="shared" si="57"/>
        <v>0</v>
      </c>
      <c r="T420" s="41">
        <f t="shared" si="58"/>
        <v>0</v>
      </c>
      <c r="U420" s="41"/>
      <c r="V420" s="44" t="str">
        <f>IF($P420="High",$S420,IF($P420="Mix",SUMIF('High_Low Voltage Mix Summary'!$B$10:$B$17,$B788,'High_Low Voltage Mix Summary'!$D$10:$D$17),""))</f>
        <v/>
      </c>
      <c r="W420" s="44" t="str">
        <f>IF($P420="Low",$S420,IF($P420="Mix",SUMIF('High_Low Voltage Mix Summary'!$B$10:$B$17,$B788,'High_Low Voltage Mix Summary'!$E$10:$E$17),""))</f>
        <v/>
      </c>
      <c r="X420" s="44" t="str">
        <f>IF($P420="High",$T420,IF($P420="Mix",SUMIF('High_Low Voltage Mix Summary'!$B$10:$B$17,$B788,'High_Low Voltage Mix Summary'!$F$10:$F$17),""))</f>
        <v/>
      </c>
      <c r="Y420" s="44" t="str">
        <f>IF($P420="Low",$T420,IF($P420="Mix",SUMIF('High_Low Voltage Mix Summary'!$B$10:$B$17,$B788,'High_Low Voltage Mix Summary'!$G$10:$G$17),""))</f>
        <v/>
      </c>
      <c r="Z420" s="44" t="str">
        <f>IF(OR($P420="High",$P420="Low"),"",IF($P420="Mix",SUMIF('High_Low Voltage Mix Summary'!$B$10:$B$17,$B788,'High_Low Voltage Mix Summary'!$H$10:$H$17),""))</f>
        <v/>
      </c>
      <c r="AB420" s="49">
        <f>SUMIF('Antelope Bailey Split BA'!$B$7:$B$29,B420,'Antelope Bailey Split BA'!$C$7:$C$29)</f>
        <v>1</v>
      </c>
      <c r="AC420" s="49" t="str">
        <f>IF(AND(AB420=1,'Plant Total by Account'!$H$1=2),"EKWRA","")</f>
        <v>EKWRA</v>
      </c>
    </row>
    <row r="421" spans="1:29" x14ac:dyDescent="0.2">
      <c r="A421" s="39" t="s">
        <v>2944</v>
      </c>
      <c r="B421" s="45" t="s">
        <v>546</v>
      </c>
      <c r="C421" s="40" t="s">
        <v>2611</v>
      </c>
      <c r="D421" s="53">
        <v>0</v>
      </c>
      <c r="E421" s="53">
        <v>0</v>
      </c>
      <c r="F421" s="53">
        <v>616419.11</v>
      </c>
      <c r="G421" s="578">
        <f t="shared" si="59"/>
        <v>616419.11</v>
      </c>
      <c r="H421" s="41"/>
      <c r="I421" s="41"/>
      <c r="J421" s="41"/>
      <c r="K421" s="41">
        <f t="shared" si="61"/>
        <v>0</v>
      </c>
      <c r="L421" s="41">
        <f t="shared" si="62"/>
        <v>0</v>
      </c>
      <c r="M421" s="41">
        <f t="shared" si="63"/>
        <v>616419.11</v>
      </c>
      <c r="N421" s="363">
        <f t="shared" si="60"/>
        <v>0</v>
      </c>
      <c r="O421" s="43" t="s">
        <v>3309</v>
      </c>
      <c r="P421" s="43"/>
      <c r="R421" s="41">
        <f t="shared" si="56"/>
        <v>0</v>
      </c>
      <c r="S421" s="41">
        <f t="shared" si="57"/>
        <v>0</v>
      </c>
      <c r="T421" s="41">
        <f t="shared" si="58"/>
        <v>0</v>
      </c>
      <c r="U421" s="41"/>
      <c r="V421" s="44" t="str">
        <f>IF($P421="High",$S421,IF($P421="Mix",SUMIF('High_Low Voltage Mix Summary'!$B$10:$B$17,$B290,'High_Low Voltage Mix Summary'!$D$10:$D$17),""))</f>
        <v/>
      </c>
      <c r="W421" s="44" t="str">
        <f>IF($P421="Low",$S421,IF($P421="Mix",SUMIF('High_Low Voltage Mix Summary'!$B$10:$B$17,$B290,'High_Low Voltage Mix Summary'!$E$10:$E$17),""))</f>
        <v/>
      </c>
      <c r="X421" s="44" t="str">
        <f>IF($P421="High",$T421,IF($P421="Mix",SUMIF('High_Low Voltage Mix Summary'!$B$10:$B$17,$B290,'High_Low Voltage Mix Summary'!$F$10:$F$17),""))</f>
        <v/>
      </c>
      <c r="Y421" s="44" t="str">
        <f>IF($P421="Low",$T421,IF($P421="Mix",SUMIF('High_Low Voltage Mix Summary'!$B$10:$B$17,$B290,'High_Low Voltage Mix Summary'!$G$10:$G$17),""))</f>
        <v/>
      </c>
      <c r="Z421" s="44" t="str">
        <f>IF(OR($P421="High",$P421="Low"),"",IF($P421="Mix",SUMIF('High_Low Voltage Mix Summary'!$B$10:$B$17,$B290,'High_Low Voltage Mix Summary'!$H$10:$H$17),""))</f>
        <v/>
      </c>
      <c r="AB421" s="49">
        <f>SUMIF('Antelope Bailey Split BA'!$B$7:$B$29,B421,'Antelope Bailey Split BA'!$C$7:$C$29)</f>
        <v>0</v>
      </c>
      <c r="AC421" s="49" t="str">
        <f>IF(AND(AB421=1,'Plant Total by Account'!$H$1=2),"EKWRA","")</f>
        <v/>
      </c>
    </row>
    <row r="422" spans="1:29" x14ac:dyDescent="0.2">
      <c r="A422" s="39" t="s">
        <v>2443</v>
      </c>
      <c r="B422" s="45" t="s">
        <v>547</v>
      </c>
      <c r="C422" s="40" t="s">
        <v>3334</v>
      </c>
      <c r="D422" s="53">
        <v>17910.490000000002</v>
      </c>
      <c r="E422" s="53">
        <v>798803.94000000018</v>
      </c>
      <c r="F422" s="53">
        <v>8691916.3900000043</v>
      </c>
      <c r="G422" s="578">
        <f t="shared" si="59"/>
        <v>9508630.820000004</v>
      </c>
      <c r="H422" s="41"/>
      <c r="I422" s="41"/>
      <c r="J422" s="41"/>
      <c r="K422" s="41">
        <f t="shared" si="61"/>
        <v>17910.490000000002</v>
      </c>
      <c r="L422" s="41">
        <f t="shared" si="62"/>
        <v>798803.94000000018</v>
      </c>
      <c r="M422" s="41">
        <f t="shared" si="63"/>
        <v>8691916.3900000043</v>
      </c>
      <c r="N422" s="363">
        <f t="shared" si="60"/>
        <v>0</v>
      </c>
      <c r="O422" s="43" t="s">
        <v>3309</v>
      </c>
      <c r="P422" s="43"/>
      <c r="R422" s="41">
        <f t="shared" si="56"/>
        <v>0</v>
      </c>
      <c r="S422" s="41">
        <f t="shared" si="57"/>
        <v>0</v>
      </c>
      <c r="T422" s="41">
        <f t="shared" si="58"/>
        <v>0</v>
      </c>
      <c r="U422" s="41"/>
      <c r="V422" s="44" t="str">
        <f>IF($P422="High",$S422,IF($P422="Mix",SUMIF('High_Low Voltage Mix Summary'!$B$10:$B$17,$B583,'High_Low Voltage Mix Summary'!$D$10:$D$17),""))</f>
        <v/>
      </c>
      <c r="W422" s="44" t="str">
        <f>IF($P422="Low",$S422,IF($P422="Mix",SUMIF('High_Low Voltage Mix Summary'!$B$10:$B$17,$B583,'High_Low Voltage Mix Summary'!$E$10:$E$17),""))</f>
        <v/>
      </c>
      <c r="X422" s="44" t="str">
        <f>IF($P422="High",$T422,IF($P422="Mix",SUMIF('High_Low Voltage Mix Summary'!$B$10:$B$17,$B583,'High_Low Voltage Mix Summary'!$F$10:$F$17),""))</f>
        <v/>
      </c>
      <c r="Y422" s="44" t="str">
        <f>IF($P422="Low",$T422,IF($P422="Mix",SUMIF('High_Low Voltage Mix Summary'!$B$10:$B$17,$B583,'High_Low Voltage Mix Summary'!$G$10:$G$17),""))</f>
        <v/>
      </c>
      <c r="Z422" s="44" t="str">
        <f>IF(OR($P422="High",$P422="Low"),"",IF($P422="Mix",SUMIF('High_Low Voltage Mix Summary'!$B$10:$B$17,$B583,'High_Low Voltage Mix Summary'!$H$10:$H$17),""))</f>
        <v/>
      </c>
      <c r="AB422" s="49">
        <f>SUMIF('Antelope Bailey Split BA'!$B$7:$B$29,B422,'Antelope Bailey Split BA'!$C$7:$C$29)</f>
        <v>0</v>
      </c>
      <c r="AC422" s="49" t="str">
        <f>IF(AND(AB422=1,'Plant Total by Account'!$H$1=2),"EKWRA","")</f>
        <v/>
      </c>
    </row>
    <row r="423" spans="1:29" x14ac:dyDescent="0.2">
      <c r="A423" s="39" t="s">
        <v>2945</v>
      </c>
      <c r="B423" s="45" t="s">
        <v>548</v>
      </c>
      <c r="C423" s="40" t="s">
        <v>3333</v>
      </c>
      <c r="D423" s="53">
        <v>2513.8000000000002</v>
      </c>
      <c r="E423" s="53">
        <v>33872.980000000003</v>
      </c>
      <c r="F423" s="53">
        <v>1063861.4800000004</v>
      </c>
      <c r="G423" s="578">
        <f t="shared" si="59"/>
        <v>1100248.2600000005</v>
      </c>
      <c r="H423" s="41"/>
      <c r="I423" s="41"/>
      <c r="J423" s="41"/>
      <c r="K423" s="41">
        <f t="shared" si="61"/>
        <v>2513.8000000000002</v>
      </c>
      <c r="L423" s="41">
        <f t="shared" si="62"/>
        <v>33872.980000000003</v>
      </c>
      <c r="M423" s="41">
        <f t="shared" si="63"/>
        <v>1063861.4800000004</v>
      </c>
      <c r="N423" s="363">
        <f t="shared" si="60"/>
        <v>0</v>
      </c>
      <c r="O423" s="43" t="s">
        <v>3309</v>
      </c>
      <c r="P423" s="43"/>
      <c r="R423" s="41">
        <f t="shared" si="56"/>
        <v>0</v>
      </c>
      <c r="S423" s="41">
        <f t="shared" si="57"/>
        <v>0</v>
      </c>
      <c r="T423" s="41">
        <f t="shared" si="58"/>
        <v>0</v>
      </c>
      <c r="U423" s="41"/>
      <c r="V423" s="44" t="str">
        <f>IF($P423="High",$S423,IF($P423="Mix",SUMIF('High_Low Voltage Mix Summary'!$B$10:$B$17,$B779,'High_Low Voltage Mix Summary'!$D$10:$D$17),""))</f>
        <v/>
      </c>
      <c r="W423" s="44" t="str">
        <f>IF($P423="Low",$S423,IF($P423="Mix",SUMIF('High_Low Voltage Mix Summary'!$B$10:$B$17,$B779,'High_Low Voltage Mix Summary'!$E$10:$E$17),""))</f>
        <v/>
      </c>
      <c r="X423" s="44" t="str">
        <f>IF($P423="High",$T423,IF($P423="Mix",SUMIF('High_Low Voltage Mix Summary'!$B$10:$B$17,$B779,'High_Low Voltage Mix Summary'!$F$10:$F$17),""))</f>
        <v/>
      </c>
      <c r="Y423" s="44" t="str">
        <f>IF($P423="Low",$T423,IF($P423="Mix",SUMIF('High_Low Voltage Mix Summary'!$B$10:$B$17,$B779,'High_Low Voltage Mix Summary'!$G$10:$G$17),""))</f>
        <v/>
      </c>
      <c r="Z423" s="44" t="str">
        <f>IF(OR($P423="High",$P423="Low"),"",IF($P423="Mix",SUMIF('High_Low Voltage Mix Summary'!$B$10:$B$17,$B779,'High_Low Voltage Mix Summary'!$H$10:$H$17),""))</f>
        <v/>
      </c>
      <c r="AB423" s="49">
        <f>SUMIF('Antelope Bailey Split BA'!$B$7:$B$29,B423,'Antelope Bailey Split BA'!$C$7:$C$29)</f>
        <v>0</v>
      </c>
      <c r="AC423" s="49" t="str">
        <f>IF(AND(AB423=1,'Plant Total by Account'!$H$1=2),"EKWRA","")</f>
        <v/>
      </c>
    </row>
    <row r="424" spans="1:29" x14ac:dyDescent="0.2">
      <c r="A424" s="39" t="s">
        <v>2946</v>
      </c>
      <c r="B424" s="45" t="s">
        <v>549</v>
      </c>
      <c r="C424" s="40" t="s">
        <v>3334</v>
      </c>
      <c r="D424" s="53">
        <v>60670.700000000004</v>
      </c>
      <c r="E424" s="53">
        <v>393436.85</v>
      </c>
      <c r="F424" s="53">
        <v>7299276.6499999929</v>
      </c>
      <c r="G424" s="578">
        <f t="shared" si="59"/>
        <v>7753384.1999999927</v>
      </c>
      <c r="H424" s="41"/>
      <c r="I424" s="41"/>
      <c r="J424" s="41"/>
      <c r="K424" s="41">
        <f t="shared" si="61"/>
        <v>60670.700000000004</v>
      </c>
      <c r="L424" s="41">
        <f t="shared" si="62"/>
        <v>393436.85</v>
      </c>
      <c r="M424" s="41">
        <f t="shared" si="63"/>
        <v>7299276.6499999929</v>
      </c>
      <c r="N424" s="363">
        <f t="shared" si="60"/>
        <v>0</v>
      </c>
      <c r="O424" s="43" t="s">
        <v>3309</v>
      </c>
      <c r="P424" s="43"/>
      <c r="R424" s="41">
        <f t="shared" si="56"/>
        <v>0</v>
      </c>
      <c r="S424" s="41">
        <f t="shared" si="57"/>
        <v>0</v>
      </c>
      <c r="T424" s="41">
        <f t="shared" si="58"/>
        <v>0</v>
      </c>
      <c r="U424" s="41"/>
      <c r="V424" s="44" t="str">
        <f>IF($P424="High",$S424,IF($P424="Mix",SUMIF('High_Low Voltage Mix Summary'!$B$10:$B$17,$B291,'High_Low Voltage Mix Summary'!$D$10:$D$17),""))</f>
        <v/>
      </c>
      <c r="W424" s="44" t="str">
        <f>IF($P424="Low",$S424,IF($P424="Mix",SUMIF('High_Low Voltage Mix Summary'!$B$10:$B$17,$B291,'High_Low Voltage Mix Summary'!$E$10:$E$17),""))</f>
        <v/>
      </c>
      <c r="X424" s="44" t="str">
        <f>IF($P424="High",$T424,IF($P424="Mix",SUMIF('High_Low Voltage Mix Summary'!$B$10:$B$17,$B291,'High_Low Voltage Mix Summary'!$F$10:$F$17),""))</f>
        <v/>
      </c>
      <c r="Y424" s="44" t="str">
        <f>IF($P424="Low",$T424,IF($P424="Mix",SUMIF('High_Low Voltage Mix Summary'!$B$10:$B$17,$B291,'High_Low Voltage Mix Summary'!$G$10:$G$17),""))</f>
        <v/>
      </c>
      <c r="Z424" s="44" t="str">
        <f>IF(OR($P424="High",$P424="Low"),"",IF($P424="Mix",SUMIF('High_Low Voltage Mix Summary'!$B$10:$B$17,$B291,'High_Low Voltage Mix Summary'!$H$10:$H$17),""))</f>
        <v/>
      </c>
      <c r="AB424" s="49">
        <f>SUMIF('Antelope Bailey Split BA'!$B$7:$B$29,B424,'Antelope Bailey Split BA'!$C$7:$C$29)</f>
        <v>0</v>
      </c>
      <c r="AC424" s="49" t="str">
        <f>IF(AND(AB424=1,'Plant Total by Account'!$H$1=2),"EKWRA","")</f>
        <v/>
      </c>
    </row>
    <row r="425" spans="1:29" x14ac:dyDescent="0.2">
      <c r="A425" s="39" t="s">
        <v>2947</v>
      </c>
      <c r="B425" s="45" t="s">
        <v>550</v>
      </c>
      <c r="C425" s="40" t="s">
        <v>3334</v>
      </c>
      <c r="D425" s="53">
        <v>8332.86</v>
      </c>
      <c r="E425" s="53">
        <v>443591.93</v>
      </c>
      <c r="F425" s="53">
        <v>3796086.67</v>
      </c>
      <c r="G425" s="578">
        <f t="shared" si="59"/>
        <v>4248011.46</v>
      </c>
      <c r="H425" s="41"/>
      <c r="I425" s="41"/>
      <c r="J425" s="41"/>
      <c r="K425" s="41">
        <f t="shared" si="61"/>
        <v>8332.86</v>
      </c>
      <c r="L425" s="41">
        <f t="shared" si="62"/>
        <v>443591.93</v>
      </c>
      <c r="M425" s="41">
        <f t="shared" si="63"/>
        <v>3796086.67</v>
      </c>
      <c r="N425" s="363">
        <f t="shared" si="60"/>
        <v>0</v>
      </c>
      <c r="O425" s="43" t="s">
        <v>3309</v>
      </c>
      <c r="P425" s="43"/>
      <c r="R425" s="41">
        <f t="shared" si="56"/>
        <v>0</v>
      </c>
      <c r="S425" s="41">
        <f t="shared" si="57"/>
        <v>0</v>
      </c>
      <c r="T425" s="41">
        <f t="shared" si="58"/>
        <v>0</v>
      </c>
      <c r="U425" s="41"/>
      <c r="V425" s="44" t="str">
        <f>IF($P425="High",$S425,IF($P425="Mix",SUMIF('High_Low Voltage Mix Summary'!$B$10:$B$17,$B663,'High_Low Voltage Mix Summary'!$D$10:$D$17),""))</f>
        <v/>
      </c>
      <c r="W425" s="44" t="str">
        <f>IF($P425="Low",$S425,IF($P425="Mix",SUMIF('High_Low Voltage Mix Summary'!$B$10:$B$17,$B663,'High_Low Voltage Mix Summary'!$E$10:$E$17),""))</f>
        <v/>
      </c>
      <c r="X425" s="44" t="str">
        <f>IF($P425="High",$T425,IF($P425="Mix",SUMIF('High_Low Voltage Mix Summary'!$B$10:$B$17,$B663,'High_Low Voltage Mix Summary'!$F$10:$F$17),""))</f>
        <v/>
      </c>
      <c r="Y425" s="44" t="str">
        <f>IF($P425="Low",$T425,IF($P425="Mix",SUMIF('High_Low Voltage Mix Summary'!$B$10:$B$17,$B663,'High_Low Voltage Mix Summary'!$G$10:$G$17),""))</f>
        <v/>
      </c>
      <c r="Z425" s="44" t="str">
        <f>IF(OR($P425="High",$P425="Low"),"",IF($P425="Mix",SUMIF('High_Low Voltage Mix Summary'!$B$10:$B$17,$B663,'High_Low Voltage Mix Summary'!$H$10:$H$17),""))</f>
        <v/>
      </c>
      <c r="AB425" s="49">
        <f>SUMIF('Antelope Bailey Split BA'!$B$7:$B$29,B425,'Antelope Bailey Split BA'!$C$7:$C$29)</f>
        <v>0</v>
      </c>
      <c r="AC425" s="49" t="str">
        <f>IF(AND(AB425=1,'Plant Total by Account'!$H$1=2),"EKWRA","")</f>
        <v/>
      </c>
    </row>
    <row r="426" spans="1:29" x14ac:dyDescent="0.2">
      <c r="A426" s="39" t="s">
        <v>2948</v>
      </c>
      <c r="B426" s="45" t="s">
        <v>551</v>
      </c>
      <c r="C426" s="40" t="s">
        <v>3333</v>
      </c>
      <c r="D426" s="53">
        <v>264.99</v>
      </c>
      <c r="E426" s="53">
        <v>41259.47</v>
      </c>
      <c r="F426" s="53">
        <v>333530.96000000002</v>
      </c>
      <c r="G426" s="578">
        <f t="shared" si="59"/>
        <v>375055.42000000004</v>
      </c>
      <c r="H426" s="41"/>
      <c r="I426" s="41"/>
      <c r="J426" s="41"/>
      <c r="K426" s="41">
        <f t="shared" si="61"/>
        <v>264.99</v>
      </c>
      <c r="L426" s="41">
        <f t="shared" si="62"/>
        <v>41259.47</v>
      </c>
      <c r="M426" s="41">
        <f t="shared" si="63"/>
        <v>333530.96000000002</v>
      </c>
      <c r="N426" s="363">
        <f t="shared" si="60"/>
        <v>0</v>
      </c>
      <c r="O426" s="43" t="s">
        <v>3309</v>
      </c>
      <c r="P426" s="43"/>
      <c r="R426" s="41">
        <f t="shared" si="56"/>
        <v>0</v>
      </c>
      <c r="S426" s="41">
        <f t="shared" si="57"/>
        <v>0</v>
      </c>
      <c r="T426" s="41">
        <f t="shared" si="58"/>
        <v>0</v>
      </c>
      <c r="U426" s="41"/>
      <c r="V426" s="44" t="str">
        <f>IF($P426="High",$S426,IF($P426="Mix",SUMIF('High_Low Voltage Mix Summary'!$B$10:$B$17,$B292,'High_Low Voltage Mix Summary'!$D$10:$D$17),""))</f>
        <v/>
      </c>
      <c r="W426" s="44" t="str">
        <f>IF($P426="Low",$S426,IF($P426="Mix",SUMIF('High_Low Voltage Mix Summary'!$B$10:$B$17,$B292,'High_Low Voltage Mix Summary'!$E$10:$E$17),""))</f>
        <v/>
      </c>
      <c r="X426" s="44" t="str">
        <f>IF($P426="High",$T426,IF($P426="Mix",SUMIF('High_Low Voltage Mix Summary'!$B$10:$B$17,$B292,'High_Low Voltage Mix Summary'!$F$10:$F$17),""))</f>
        <v/>
      </c>
      <c r="Y426" s="44" t="str">
        <f>IF($P426="Low",$T426,IF($P426="Mix",SUMIF('High_Low Voltage Mix Summary'!$B$10:$B$17,$B292,'High_Low Voltage Mix Summary'!$G$10:$G$17),""))</f>
        <v/>
      </c>
      <c r="Z426" s="44" t="str">
        <f>IF(OR($P426="High",$P426="Low"),"",IF($P426="Mix",SUMIF('High_Low Voltage Mix Summary'!$B$10:$B$17,$B292,'High_Low Voltage Mix Summary'!$H$10:$H$17),""))</f>
        <v/>
      </c>
      <c r="AB426" s="49">
        <f>SUMIF('Antelope Bailey Split BA'!$B$7:$B$29,B426,'Antelope Bailey Split BA'!$C$7:$C$29)</f>
        <v>0</v>
      </c>
      <c r="AC426" s="49" t="str">
        <f>IF(AND(AB426=1,'Plant Total by Account'!$H$1=2),"EKWRA","")</f>
        <v/>
      </c>
    </row>
    <row r="427" spans="1:29" x14ac:dyDescent="0.2">
      <c r="A427" s="39" t="s">
        <v>2444</v>
      </c>
      <c r="B427" s="45" t="s">
        <v>552</v>
      </c>
      <c r="C427" s="40" t="s">
        <v>3334</v>
      </c>
      <c r="D427" s="53">
        <v>2627.31</v>
      </c>
      <c r="E427" s="53">
        <v>3800.28</v>
      </c>
      <c r="F427" s="53">
        <v>293906.56999999995</v>
      </c>
      <c r="G427" s="578">
        <f t="shared" si="59"/>
        <v>300334.15999999997</v>
      </c>
      <c r="H427" s="41"/>
      <c r="I427" s="41"/>
      <c r="J427" s="41"/>
      <c r="K427" s="41">
        <f t="shared" si="61"/>
        <v>2627.31</v>
      </c>
      <c r="L427" s="41">
        <f t="shared" si="62"/>
        <v>3800.28</v>
      </c>
      <c r="M427" s="41">
        <f t="shared" si="63"/>
        <v>293906.56999999995</v>
      </c>
      <c r="N427" s="363">
        <f t="shared" si="60"/>
        <v>0</v>
      </c>
      <c r="O427" s="43" t="s">
        <v>3309</v>
      </c>
      <c r="P427" s="43"/>
      <c r="R427" s="41">
        <f t="shared" si="56"/>
        <v>0</v>
      </c>
      <c r="S427" s="41">
        <f t="shared" si="57"/>
        <v>0</v>
      </c>
      <c r="T427" s="41">
        <f t="shared" si="58"/>
        <v>0</v>
      </c>
      <c r="U427" s="41"/>
      <c r="V427" s="44" t="str">
        <f>IF($P427="High",$S427,IF($P427="Mix",SUMIF('High_Low Voltage Mix Summary'!$B$10:$B$17,$B293,'High_Low Voltage Mix Summary'!$D$10:$D$17),""))</f>
        <v/>
      </c>
      <c r="W427" s="44" t="str">
        <f>IF($P427="Low",$S427,IF($P427="Mix",SUMIF('High_Low Voltage Mix Summary'!$B$10:$B$17,$B293,'High_Low Voltage Mix Summary'!$E$10:$E$17),""))</f>
        <v/>
      </c>
      <c r="X427" s="44" t="str">
        <f>IF($P427="High",$T427,IF($P427="Mix",SUMIF('High_Low Voltage Mix Summary'!$B$10:$B$17,$B293,'High_Low Voltage Mix Summary'!$F$10:$F$17),""))</f>
        <v/>
      </c>
      <c r="Y427" s="44" t="str">
        <f>IF($P427="Low",$T427,IF($P427="Mix",SUMIF('High_Low Voltage Mix Summary'!$B$10:$B$17,$B293,'High_Low Voltage Mix Summary'!$G$10:$G$17),""))</f>
        <v/>
      </c>
      <c r="Z427" s="44" t="str">
        <f>IF(OR($P427="High",$P427="Low"),"",IF($P427="Mix",SUMIF('High_Low Voltage Mix Summary'!$B$10:$B$17,$B293,'High_Low Voltage Mix Summary'!$H$10:$H$17),""))</f>
        <v/>
      </c>
      <c r="AB427" s="49">
        <f>SUMIF('Antelope Bailey Split BA'!$B$7:$B$29,B427,'Antelope Bailey Split BA'!$C$7:$C$29)</f>
        <v>0</v>
      </c>
      <c r="AC427" s="49" t="str">
        <f>IF(AND(AB427=1,'Plant Total by Account'!$H$1=2),"EKWRA","")</f>
        <v/>
      </c>
    </row>
    <row r="428" spans="1:29" x14ac:dyDescent="0.2">
      <c r="A428" s="39" t="s">
        <v>2949</v>
      </c>
      <c r="B428" s="45" t="s">
        <v>553</v>
      </c>
      <c r="C428" s="40" t="s">
        <v>3334</v>
      </c>
      <c r="D428" s="53">
        <v>680.4</v>
      </c>
      <c r="E428" s="53">
        <v>5934.23</v>
      </c>
      <c r="F428" s="53">
        <v>39512.68</v>
      </c>
      <c r="G428" s="578">
        <f t="shared" si="59"/>
        <v>46127.31</v>
      </c>
      <c r="H428" s="41"/>
      <c r="I428" s="41"/>
      <c r="J428" s="41"/>
      <c r="K428" s="41">
        <f t="shared" si="61"/>
        <v>680.4</v>
      </c>
      <c r="L428" s="41">
        <f t="shared" si="62"/>
        <v>5934.23</v>
      </c>
      <c r="M428" s="41">
        <f t="shared" si="63"/>
        <v>39512.68</v>
      </c>
      <c r="N428" s="363">
        <f t="shared" si="60"/>
        <v>0</v>
      </c>
      <c r="O428" s="43" t="s">
        <v>3309</v>
      </c>
      <c r="P428" s="43"/>
      <c r="R428" s="41">
        <f t="shared" si="56"/>
        <v>0</v>
      </c>
      <c r="S428" s="41">
        <f t="shared" si="57"/>
        <v>0</v>
      </c>
      <c r="T428" s="41">
        <f t="shared" si="58"/>
        <v>0</v>
      </c>
      <c r="U428" s="41"/>
      <c r="V428" s="44" t="str">
        <f>IF($P428="High",$S428,IF($P428="Mix",SUMIF('High_Low Voltage Mix Summary'!$B$10:$B$17,$B664,'High_Low Voltage Mix Summary'!$D$10:$D$17),""))</f>
        <v/>
      </c>
      <c r="W428" s="44" t="str">
        <f>IF($P428="Low",$S428,IF($P428="Mix",SUMIF('High_Low Voltage Mix Summary'!$B$10:$B$17,$B664,'High_Low Voltage Mix Summary'!$E$10:$E$17),""))</f>
        <v/>
      </c>
      <c r="X428" s="44" t="str">
        <f>IF($P428="High",$T428,IF($P428="Mix",SUMIF('High_Low Voltage Mix Summary'!$B$10:$B$17,$B664,'High_Low Voltage Mix Summary'!$F$10:$F$17),""))</f>
        <v/>
      </c>
      <c r="Y428" s="44" t="str">
        <f>IF($P428="Low",$T428,IF($P428="Mix",SUMIF('High_Low Voltage Mix Summary'!$B$10:$B$17,$B664,'High_Low Voltage Mix Summary'!$G$10:$G$17),""))</f>
        <v/>
      </c>
      <c r="Z428" s="44" t="str">
        <f>IF(OR($P428="High",$P428="Low"),"",IF($P428="Mix",SUMIF('High_Low Voltage Mix Summary'!$B$10:$B$17,$B664,'High_Low Voltage Mix Summary'!$H$10:$H$17),""))</f>
        <v/>
      </c>
      <c r="AB428" s="49">
        <f>SUMIF('Antelope Bailey Split BA'!$B$7:$B$29,B428,'Antelope Bailey Split BA'!$C$7:$C$29)</f>
        <v>0</v>
      </c>
      <c r="AC428" s="49" t="str">
        <f>IF(AND(AB428=1,'Plant Total by Account'!$H$1=2),"EKWRA","")</f>
        <v/>
      </c>
    </row>
    <row r="429" spans="1:29" x14ac:dyDescent="0.2">
      <c r="A429" s="39" t="s">
        <v>2950</v>
      </c>
      <c r="B429" s="45" t="s">
        <v>554</v>
      </c>
      <c r="C429" s="40" t="s">
        <v>3334</v>
      </c>
      <c r="D429" s="53">
        <v>10890.99</v>
      </c>
      <c r="E429" s="53">
        <v>242363.88</v>
      </c>
      <c r="F429" s="53">
        <v>10190009.069999995</v>
      </c>
      <c r="G429" s="578">
        <f t="shared" si="59"/>
        <v>10443263.939999994</v>
      </c>
      <c r="H429" s="41"/>
      <c r="I429" s="41"/>
      <c r="J429" s="41"/>
      <c r="K429" s="41">
        <f t="shared" si="61"/>
        <v>10890.99</v>
      </c>
      <c r="L429" s="41">
        <f t="shared" si="62"/>
        <v>242363.88</v>
      </c>
      <c r="M429" s="41">
        <f t="shared" si="63"/>
        <v>10190009.069999995</v>
      </c>
      <c r="N429" s="363">
        <f t="shared" si="60"/>
        <v>0</v>
      </c>
      <c r="O429" s="43" t="s">
        <v>3309</v>
      </c>
      <c r="P429" s="43"/>
      <c r="R429" s="41">
        <f t="shared" si="56"/>
        <v>0</v>
      </c>
      <c r="S429" s="41">
        <f t="shared" si="57"/>
        <v>0</v>
      </c>
      <c r="T429" s="41">
        <f t="shared" si="58"/>
        <v>0</v>
      </c>
      <c r="U429" s="41"/>
      <c r="V429" s="44" t="str">
        <f>IF($P429="High",$S429,IF($P429="Mix",SUMIF('High_Low Voltage Mix Summary'!$B$10:$B$17,$B294,'High_Low Voltage Mix Summary'!$D$10:$D$17),""))</f>
        <v/>
      </c>
      <c r="W429" s="44" t="str">
        <f>IF($P429="Low",$S429,IF($P429="Mix",SUMIF('High_Low Voltage Mix Summary'!$B$10:$B$17,$B294,'High_Low Voltage Mix Summary'!$E$10:$E$17),""))</f>
        <v/>
      </c>
      <c r="X429" s="44" t="str">
        <f>IF($P429="High",$T429,IF($P429="Mix",SUMIF('High_Low Voltage Mix Summary'!$B$10:$B$17,$B294,'High_Low Voltage Mix Summary'!$F$10:$F$17),""))</f>
        <v/>
      </c>
      <c r="Y429" s="44" t="str">
        <f>IF($P429="Low",$T429,IF($P429="Mix",SUMIF('High_Low Voltage Mix Summary'!$B$10:$B$17,$B294,'High_Low Voltage Mix Summary'!$G$10:$G$17),""))</f>
        <v/>
      </c>
      <c r="Z429" s="44" t="str">
        <f>IF(OR($P429="High",$P429="Low"),"",IF($P429="Mix",SUMIF('High_Low Voltage Mix Summary'!$B$10:$B$17,$B294,'High_Low Voltage Mix Summary'!$H$10:$H$17),""))</f>
        <v/>
      </c>
      <c r="AB429" s="49">
        <f>SUMIF('Antelope Bailey Split BA'!$B$7:$B$29,B429,'Antelope Bailey Split BA'!$C$7:$C$29)</f>
        <v>0</v>
      </c>
      <c r="AC429" s="49" t="str">
        <f>IF(AND(AB429=1,'Plant Total by Account'!$H$1=2),"EKWRA","")</f>
        <v/>
      </c>
    </row>
    <row r="430" spans="1:29" x14ac:dyDescent="0.2">
      <c r="A430" s="39" t="s">
        <v>2951</v>
      </c>
      <c r="B430" s="45" t="s">
        <v>555</v>
      </c>
      <c r="C430" s="40" t="s">
        <v>3334</v>
      </c>
      <c r="D430" s="53">
        <v>0</v>
      </c>
      <c r="E430" s="53">
        <v>10453.119999999999</v>
      </c>
      <c r="F430" s="53">
        <v>326992.86000000004</v>
      </c>
      <c r="G430" s="578">
        <f t="shared" si="59"/>
        <v>337445.98000000004</v>
      </c>
      <c r="H430" s="41"/>
      <c r="I430" s="41"/>
      <c r="J430" s="41"/>
      <c r="K430" s="41">
        <f t="shared" si="61"/>
        <v>0</v>
      </c>
      <c r="L430" s="41">
        <f t="shared" si="62"/>
        <v>10453.119999999999</v>
      </c>
      <c r="M430" s="41">
        <f t="shared" si="63"/>
        <v>326992.86000000004</v>
      </c>
      <c r="N430" s="363">
        <f t="shared" si="60"/>
        <v>0</v>
      </c>
      <c r="O430" s="43" t="s">
        <v>3309</v>
      </c>
      <c r="P430" s="43"/>
      <c r="R430" s="41">
        <f t="shared" si="56"/>
        <v>0</v>
      </c>
      <c r="S430" s="41">
        <f t="shared" si="57"/>
        <v>0</v>
      </c>
      <c r="T430" s="41">
        <f t="shared" si="58"/>
        <v>0</v>
      </c>
      <c r="U430" s="41"/>
      <c r="V430" s="44" t="str">
        <f>IF($P430="High",$S430,IF($P430="Mix",SUMIF('High_Low Voltage Mix Summary'!$B$10:$B$17,$B295,'High_Low Voltage Mix Summary'!$D$10:$D$17),""))</f>
        <v/>
      </c>
      <c r="W430" s="44" t="str">
        <f>IF($P430="Low",$S430,IF($P430="Mix",SUMIF('High_Low Voltage Mix Summary'!$B$10:$B$17,$B295,'High_Low Voltage Mix Summary'!$E$10:$E$17),""))</f>
        <v/>
      </c>
      <c r="X430" s="44" t="str">
        <f>IF($P430="High",$T430,IF($P430="Mix",SUMIF('High_Low Voltage Mix Summary'!$B$10:$B$17,$B295,'High_Low Voltage Mix Summary'!$F$10:$F$17),""))</f>
        <v/>
      </c>
      <c r="Y430" s="44" t="str">
        <f>IF($P430="Low",$T430,IF($P430="Mix",SUMIF('High_Low Voltage Mix Summary'!$B$10:$B$17,$B295,'High_Low Voltage Mix Summary'!$G$10:$G$17),""))</f>
        <v/>
      </c>
      <c r="Z430" s="44" t="str">
        <f>IF(OR($P430="High",$P430="Low"),"",IF($P430="Mix",SUMIF('High_Low Voltage Mix Summary'!$B$10:$B$17,$B295,'High_Low Voltage Mix Summary'!$H$10:$H$17),""))</f>
        <v/>
      </c>
      <c r="AB430" s="49">
        <f>SUMIF('Antelope Bailey Split BA'!$B$7:$B$29,B430,'Antelope Bailey Split BA'!$C$7:$C$29)</f>
        <v>0</v>
      </c>
      <c r="AC430" s="49" t="str">
        <f>IF(AND(AB430=1,'Plant Total by Account'!$H$1=2),"EKWRA","")</f>
        <v/>
      </c>
    </row>
    <row r="431" spans="1:29" x14ac:dyDescent="0.2">
      <c r="A431" s="39" t="s">
        <v>2952</v>
      </c>
      <c r="B431" s="45" t="s">
        <v>556</v>
      </c>
      <c r="C431" s="40" t="s">
        <v>3334</v>
      </c>
      <c r="D431" s="53">
        <v>5846.19</v>
      </c>
      <c r="E431" s="53">
        <v>156721</v>
      </c>
      <c r="F431" s="53">
        <v>3071558.830000001</v>
      </c>
      <c r="G431" s="578">
        <f t="shared" si="59"/>
        <v>3234126.0200000009</v>
      </c>
      <c r="H431" s="41"/>
      <c r="I431" s="41"/>
      <c r="J431" s="41"/>
      <c r="K431" s="41">
        <f t="shared" si="61"/>
        <v>5846.19</v>
      </c>
      <c r="L431" s="41">
        <f t="shared" si="62"/>
        <v>156721</v>
      </c>
      <c r="M431" s="41">
        <f t="shared" si="63"/>
        <v>3071558.830000001</v>
      </c>
      <c r="N431" s="363">
        <f t="shared" si="60"/>
        <v>0</v>
      </c>
      <c r="O431" s="43" t="s">
        <v>3309</v>
      </c>
      <c r="P431" s="43"/>
      <c r="R431" s="41">
        <f t="shared" si="56"/>
        <v>0</v>
      </c>
      <c r="S431" s="41">
        <f t="shared" si="57"/>
        <v>0</v>
      </c>
      <c r="T431" s="41">
        <f t="shared" si="58"/>
        <v>0</v>
      </c>
      <c r="U431" s="41"/>
      <c r="V431" s="44" t="str">
        <f>IF($P431="High",$S431,IF($P431="Mix",SUMIF('High_Low Voltage Mix Summary'!$B$10:$B$17,$B296,'High_Low Voltage Mix Summary'!$D$10:$D$17),""))</f>
        <v/>
      </c>
      <c r="W431" s="44" t="str">
        <f>IF($P431="Low",$S431,IF($P431="Mix",SUMIF('High_Low Voltage Mix Summary'!$B$10:$B$17,$B296,'High_Low Voltage Mix Summary'!$E$10:$E$17),""))</f>
        <v/>
      </c>
      <c r="X431" s="44" t="str">
        <f>IF($P431="High",$T431,IF($P431="Mix",SUMIF('High_Low Voltage Mix Summary'!$B$10:$B$17,$B296,'High_Low Voltage Mix Summary'!$F$10:$F$17),""))</f>
        <v/>
      </c>
      <c r="Y431" s="44" t="str">
        <f>IF($P431="Low",$T431,IF($P431="Mix",SUMIF('High_Low Voltage Mix Summary'!$B$10:$B$17,$B296,'High_Low Voltage Mix Summary'!$G$10:$G$17),""))</f>
        <v/>
      </c>
      <c r="Z431" s="44" t="str">
        <f>IF(OR($P431="High",$P431="Low"),"",IF($P431="Mix",SUMIF('High_Low Voltage Mix Summary'!$B$10:$B$17,$B296,'High_Low Voltage Mix Summary'!$H$10:$H$17),""))</f>
        <v/>
      </c>
      <c r="AB431" s="49">
        <f>SUMIF('Antelope Bailey Split BA'!$B$7:$B$29,B431,'Antelope Bailey Split BA'!$C$7:$C$29)</f>
        <v>0</v>
      </c>
      <c r="AC431" s="49" t="str">
        <f>IF(AND(AB431=1,'Plant Total by Account'!$H$1=2),"EKWRA","")</f>
        <v/>
      </c>
    </row>
    <row r="432" spans="1:29" x14ac:dyDescent="0.2">
      <c r="A432" s="39" t="s">
        <v>2953</v>
      </c>
      <c r="B432" s="45" t="s">
        <v>557</v>
      </c>
      <c r="C432" s="40" t="s">
        <v>3334</v>
      </c>
      <c r="D432" s="53">
        <v>17348.080000000002</v>
      </c>
      <c r="E432" s="53">
        <v>158159.18000000002</v>
      </c>
      <c r="F432" s="53">
        <v>5839160.4200000027</v>
      </c>
      <c r="G432" s="578">
        <f t="shared" si="59"/>
        <v>6014667.6800000025</v>
      </c>
      <c r="H432" s="41"/>
      <c r="I432" s="41"/>
      <c r="J432" s="41"/>
      <c r="K432" s="41">
        <f t="shared" si="61"/>
        <v>17348.080000000002</v>
      </c>
      <c r="L432" s="41">
        <f t="shared" si="62"/>
        <v>158159.18000000002</v>
      </c>
      <c r="M432" s="41">
        <f t="shared" si="63"/>
        <v>5839160.4200000027</v>
      </c>
      <c r="N432" s="363">
        <f t="shared" si="60"/>
        <v>0</v>
      </c>
      <c r="O432" s="43" t="s">
        <v>3309</v>
      </c>
      <c r="P432" s="43"/>
      <c r="R432" s="41">
        <f t="shared" si="56"/>
        <v>0</v>
      </c>
      <c r="S432" s="41">
        <f t="shared" si="57"/>
        <v>0</v>
      </c>
      <c r="T432" s="41">
        <f t="shared" si="58"/>
        <v>0</v>
      </c>
      <c r="U432" s="41"/>
      <c r="V432" s="44" t="str">
        <f>IF($P432="High",$S432,IF($P432="Mix",SUMIF('High_Low Voltage Mix Summary'!$B$10:$B$17,$B297,'High_Low Voltage Mix Summary'!$D$10:$D$17),""))</f>
        <v/>
      </c>
      <c r="W432" s="44" t="str">
        <f>IF($P432="Low",$S432,IF($P432="Mix",SUMIF('High_Low Voltage Mix Summary'!$B$10:$B$17,$B297,'High_Low Voltage Mix Summary'!$E$10:$E$17),""))</f>
        <v/>
      </c>
      <c r="X432" s="44" t="str">
        <f>IF($P432="High",$T432,IF($P432="Mix",SUMIF('High_Low Voltage Mix Summary'!$B$10:$B$17,$B297,'High_Low Voltage Mix Summary'!$F$10:$F$17),""))</f>
        <v/>
      </c>
      <c r="Y432" s="44" t="str">
        <f>IF($P432="Low",$T432,IF($P432="Mix",SUMIF('High_Low Voltage Mix Summary'!$B$10:$B$17,$B297,'High_Low Voltage Mix Summary'!$G$10:$G$17),""))</f>
        <v/>
      </c>
      <c r="Z432" s="44" t="str">
        <f>IF(OR($P432="High",$P432="Low"),"",IF($P432="Mix",SUMIF('High_Low Voltage Mix Summary'!$B$10:$B$17,$B297,'High_Low Voltage Mix Summary'!$H$10:$H$17),""))</f>
        <v/>
      </c>
      <c r="AB432" s="49">
        <f>SUMIF('Antelope Bailey Split BA'!$B$7:$B$29,B432,'Antelope Bailey Split BA'!$C$7:$C$29)</f>
        <v>0</v>
      </c>
      <c r="AC432" s="49" t="str">
        <f>IF(AND(AB432=1,'Plant Total by Account'!$H$1=2),"EKWRA","")</f>
        <v/>
      </c>
    </row>
    <row r="433" spans="1:29" x14ac:dyDescent="0.2">
      <c r="A433" s="39" t="s">
        <v>2445</v>
      </c>
      <c r="B433" s="45" t="s">
        <v>558</v>
      </c>
      <c r="C433" s="40" t="s">
        <v>3334</v>
      </c>
      <c r="D433" s="53">
        <v>0</v>
      </c>
      <c r="E433" s="53">
        <v>3994.25</v>
      </c>
      <c r="F433" s="53">
        <v>83170.600000000006</v>
      </c>
      <c r="G433" s="578">
        <f t="shared" si="59"/>
        <v>87164.85</v>
      </c>
      <c r="H433" s="41"/>
      <c r="I433" s="41"/>
      <c r="J433" s="41"/>
      <c r="K433" s="41">
        <f t="shared" si="61"/>
        <v>0</v>
      </c>
      <c r="L433" s="41">
        <f t="shared" si="62"/>
        <v>3994.25</v>
      </c>
      <c r="M433" s="41">
        <f t="shared" si="63"/>
        <v>83170.600000000006</v>
      </c>
      <c r="N433" s="363">
        <f t="shared" si="60"/>
        <v>0</v>
      </c>
      <c r="O433" s="43" t="s">
        <v>3309</v>
      </c>
      <c r="P433" s="43"/>
      <c r="R433" s="41">
        <f t="shared" si="56"/>
        <v>0</v>
      </c>
      <c r="S433" s="41">
        <f t="shared" si="57"/>
        <v>0</v>
      </c>
      <c r="T433" s="41">
        <f t="shared" si="58"/>
        <v>0</v>
      </c>
      <c r="U433" s="41"/>
      <c r="V433" s="44" t="str">
        <f>IF($P433="High",$S433,IF($P433="Mix",SUMIF('High_Low Voltage Mix Summary'!$B$10:$B$17,$B298,'High_Low Voltage Mix Summary'!$D$10:$D$17),""))</f>
        <v/>
      </c>
      <c r="W433" s="44" t="str">
        <f>IF($P433="Low",$S433,IF($P433="Mix",SUMIF('High_Low Voltage Mix Summary'!$B$10:$B$17,$B298,'High_Low Voltage Mix Summary'!$E$10:$E$17),""))</f>
        <v/>
      </c>
      <c r="X433" s="44" t="str">
        <f>IF($P433="High",$T433,IF($P433="Mix",SUMIF('High_Low Voltage Mix Summary'!$B$10:$B$17,$B298,'High_Low Voltage Mix Summary'!$F$10:$F$17),""))</f>
        <v/>
      </c>
      <c r="Y433" s="44" t="str">
        <f>IF($P433="Low",$T433,IF($P433="Mix",SUMIF('High_Low Voltage Mix Summary'!$B$10:$B$17,$B298,'High_Low Voltage Mix Summary'!$G$10:$G$17),""))</f>
        <v/>
      </c>
      <c r="Z433" s="44" t="str">
        <f>IF(OR($P433="High",$P433="Low"),"",IF($P433="Mix",SUMIF('High_Low Voltage Mix Summary'!$B$10:$B$17,$B298,'High_Low Voltage Mix Summary'!$H$10:$H$17),""))</f>
        <v/>
      </c>
      <c r="AB433" s="49">
        <f>SUMIF('Antelope Bailey Split BA'!$B$7:$B$29,B433,'Antelope Bailey Split BA'!$C$7:$C$29)</f>
        <v>0</v>
      </c>
      <c r="AC433" s="49" t="str">
        <f>IF(AND(AB433=1,'Plant Total by Account'!$H$1=2),"EKWRA","")</f>
        <v/>
      </c>
    </row>
    <row r="434" spans="1:29" x14ac:dyDescent="0.2">
      <c r="A434" s="39" t="s">
        <v>2954</v>
      </c>
      <c r="B434" s="45" t="s">
        <v>130</v>
      </c>
      <c r="C434" s="40" t="s">
        <v>3334</v>
      </c>
      <c r="D434" s="53">
        <v>0</v>
      </c>
      <c r="E434" s="53">
        <v>0</v>
      </c>
      <c r="F434" s="53">
        <v>22148.11</v>
      </c>
      <c r="G434" s="578">
        <f t="shared" si="59"/>
        <v>22148.11</v>
      </c>
      <c r="H434" s="41"/>
      <c r="I434" s="41"/>
      <c r="J434" s="41"/>
      <c r="K434" s="41">
        <f t="shared" si="61"/>
        <v>0</v>
      </c>
      <c r="L434" s="41">
        <f t="shared" si="62"/>
        <v>0</v>
      </c>
      <c r="M434" s="41">
        <f t="shared" si="63"/>
        <v>22148.11</v>
      </c>
      <c r="N434" s="363">
        <f t="shared" si="60"/>
        <v>0</v>
      </c>
      <c r="O434" s="43" t="s">
        <v>3309</v>
      </c>
      <c r="P434" s="43"/>
      <c r="R434" s="41">
        <f t="shared" si="56"/>
        <v>0</v>
      </c>
      <c r="S434" s="41">
        <f t="shared" si="57"/>
        <v>0</v>
      </c>
      <c r="T434" s="41">
        <f t="shared" si="58"/>
        <v>0</v>
      </c>
      <c r="U434" s="41"/>
      <c r="V434" s="44" t="str">
        <f>IF($P434="High",$S434,IF($P434="Mix",SUMIF('High_Low Voltage Mix Summary'!$B$10:$B$17,$B299,'High_Low Voltage Mix Summary'!$D$10:$D$17),""))</f>
        <v/>
      </c>
      <c r="W434" s="44" t="str">
        <f>IF($P434="Low",$S434,IF($P434="Mix",SUMIF('High_Low Voltage Mix Summary'!$B$10:$B$17,$B299,'High_Low Voltage Mix Summary'!$E$10:$E$17),""))</f>
        <v/>
      </c>
      <c r="X434" s="44" t="str">
        <f>IF($P434="High",$T434,IF($P434="Mix",SUMIF('High_Low Voltage Mix Summary'!$B$10:$B$17,$B299,'High_Low Voltage Mix Summary'!$F$10:$F$17),""))</f>
        <v/>
      </c>
      <c r="Y434" s="44" t="str">
        <f>IF($P434="Low",$T434,IF($P434="Mix",SUMIF('High_Low Voltage Mix Summary'!$B$10:$B$17,$B299,'High_Low Voltage Mix Summary'!$G$10:$G$17),""))</f>
        <v/>
      </c>
      <c r="Z434" s="44" t="str">
        <f>IF(OR($P434="High",$P434="Low"),"",IF($P434="Mix",SUMIF('High_Low Voltage Mix Summary'!$B$10:$B$17,$B299,'High_Low Voltage Mix Summary'!$H$10:$H$17),""))</f>
        <v/>
      </c>
      <c r="AB434" s="49">
        <f>SUMIF('Antelope Bailey Split BA'!$B$7:$B$29,B434,'Antelope Bailey Split BA'!$C$7:$C$29)</f>
        <v>0</v>
      </c>
      <c r="AC434" s="49" t="str">
        <f>IF(AND(AB434=1,'Plant Total by Account'!$H$1=2),"EKWRA","")</f>
        <v/>
      </c>
    </row>
    <row r="435" spans="1:29" x14ac:dyDescent="0.2">
      <c r="A435" s="39" t="s">
        <v>2955</v>
      </c>
      <c r="B435" s="45" t="s">
        <v>559</v>
      </c>
      <c r="C435" s="40" t="s">
        <v>3334</v>
      </c>
      <c r="D435" s="53">
        <v>24965.45</v>
      </c>
      <c r="E435" s="53">
        <v>252609.56</v>
      </c>
      <c r="F435" s="53">
        <v>6330940.4000000041</v>
      </c>
      <c r="G435" s="578">
        <f t="shared" si="59"/>
        <v>6608515.4100000039</v>
      </c>
      <c r="H435" s="41"/>
      <c r="I435" s="41"/>
      <c r="J435" s="41"/>
      <c r="K435" s="41">
        <f t="shared" si="61"/>
        <v>24965.45</v>
      </c>
      <c r="L435" s="41">
        <f t="shared" si="62"/>
        <v>252609.56</v>
      </c>
      <c r="M435" s="41">
        <f t="shared" si="63"/>
        <v>6330940.4000000041</v>
      </c>
      <c r="N435" s="363">
        <f t="shared" si="60"/>
        <v>0</v>
      </c>
      <c r="O435" s="43" t="s">
        <v>3309</v>
      </c>
      <c r="P435" s="43"/>
      <c r="R435" s="41">
        <f t="shared" si="56"/>
        <v>0</v>
      </c>
      <c r="S435" s="41">
        <f t="shared" si="57"/>
        <v>0</v>
      </c>
      <c r="T435" s="41">
        <f t="shared" si="58"/>
        <v>0</v>
      </c>
      <c r="U435" s="41"/>
      <c r="V435" s="44" t="str">
        <f>IF($P435="High",$S435,IF($P435="Mix",SUMIF('High_Low Voltage Mix Summary'!$B$10:$B$17,$B300,'High_Low Voltage Mix Summary'!$D$10:$D$17),""))</f>
        <v/>
      </c>
      <c r="W435" s="44" t="str">
        <f>IF($P435="Low",$S435,IF($P435="Mix",SUMIF('High_Low Voltage Mix Summary'!$B$10:$B$17,$B300,'High_Low Voltage Mix Summary'!$E$10:$E$17),""))</f>
        <v/>
      </c>
      <c r="X435" s="44" t="str">
        <f>IF($P435="High",$T435,IF($P435="Mix",SUMIF('High_Low Voltage Mix Summary'!$B$10:$B$17,$B300,'High_Low Voltage Mix Summary'!$F$10:$F$17),""))</f>
        <v/>
      </c>
      <c r="Y435" s="44" t="str">
        <f>IF($P435="Low",$T435,IF($P435="Mix",SUMIF('High_Low Voltage Mix Summary'!$B$10:$B$17,$B300,'High_Low Voltage Mix Summary'!$G$10:$G$17),""))</f>
        <v/>
      </c>
      <c r="Z435" s="44" t="str">
        <f>IF(OR($P435="High",$P435="Low"),"",IF($P435="Mix",SUMIF('High_Low Voltage Mix Summary'!$B$10:$B$17,$B300,'High_Low Voltage Mix Summary'!$H$10:$H$17),""))</f>
        <v/>
      </c>
      <c r="AB435" s="49">
        <f>SUMIF('Antelope Bailey Split BA'!$B$7:$B$29,B435,'Antelope Bailey Split BA'!$C$7:$C$29)</f>
        <v>0</v>
      </c>
      <c r="AC435" s="49" t="str">
        <f>IF(AND(AB435=1,'Plant Total by Account'!$H$1=2),"EKWRA","")</f>
        <v/>
      </c>
    </row>
    <row r="436" spans="1:29" x14ac:dyDescent="0.2">
      <c r="A436" s="39" t="s">
        <v>2956</v>
      </c>
      <c r="B436" s="40" t="s">
        <v>560</v>
      </c>
      <c r="C436" s="40" t="s">
        <v>3334</v>
      </c>
      <c r="D436" s="53">
        <v>3638.26</v>
      </c>
      <c r="E436" s="53">
        <v>104601.30000000002</v>
      </c>
      <c r="F436" s="53">
        <v>8579277.2300000004</v>
      </c>
      <c r="G436" s="578">
        <f t="shared" si="59"/>
        <v>8687516.790000001</v>
      </c>
      <c r="H436" s="41"/>
      <c r="I436" s="41"/>
      <c r="J436" s="41"/>
      <c r="K436" s="41">
        <f t="shared" si="61"/>
        <v>3638.26</v>
      </c>
      <c r="L436" s="41">
        <f t="shared" si="62"/>
        <v>104601.30000000002</v>
      </c>
      <c r="M436" s="41">
        <f t="shared" si="63"/>
        <v>8579277.2300000004</v>
      </c>
      <c r="N436" s="363">
        <f t="shared" si="60"/>
        <v>0</v>
      </c>
      <c r="O436" s="43" t="s">
        <v>3309</v>
      </c>
      <c r="P436" s="43"/>
      <c r="R436" s="41">
        <f t="shared" si="56"/>
        <v>0</v>
      </c>
      <c r="S436" s="41">
        <f t="shared" si="57"/>
        <v>0</v>
      </c>
      <c r="T436" s="41">
        <f t="shared" si="58"/>
        <v>0</v>
      </c>
      <c r="U436" s="41"/>
      <c r="V436" s="44" t="str">
        <f>IF($P436="High",$S436,IF($P436="Mix",SUMIF('High_Low Voltage Mix Summary'!$B$10:$B$17,$B552,'High_Low Voltage Mix Summary'!$D$10:$D$17),""))</f>
        <v/>
      </c>
      <c r="W436" s="44" t="str">
        <f>IF($P436="Low",$S436,IF($P436="Mix",SUMIF('High_Low Voltage Mix Summary'!$B$10:$B$17,$B552,'High_Low Voltage Mix Summary'!$E$10:$E$17),""))</f>
        <v/>
      </c>
      <c r="X436" s="44" t="str">
        <f>IF($P436="High",$T436,IF($P436="Mix",SUMIF('High_Low Voltage Mix Summary'!$B$10:$B$17,$B552,'High_Low Voltage Mix Summary'!$F$10:$F$17),""))</f>
        <v/>
      </c>
      <c r="Y436" s="44" t="str">
        <f>IF($P436="Low",$T436,IF($P436="Mix",SUMIF('High_Low Voltage Mix Summary'!$B$10:$B$17,$B552,'High_Low Voltage Mix Summary'!$G$10:$G$17),""))</f>
        <v/>
      </c>
      <c r="Z436" s="44" t="str">
        <f>IF(OR($P436="High",$P436="Low"),"",IF($P436="Mix",SUMIF('High_Low Voltage Mix Summary'!$B$10:$B$17,$B552,'High_Low Voltage Mix Summary'!$H$10:$H$17),""))</f>
        <v/>
      </c>
      <c r="AB436" s="49">
        <f>SUMIF('Antelope Bailey Split BA'!$B$7:$B$29,B436,'Antelope Bailey Split BA'!$C$7:$C$29)</f>
        <v>0</v>
      </c>
      <c r="AC436" s="49" t="str">
        <f>IF(AND(AB436=1,'Plant Total by Account'!$H$1=2),"EKWRA","")</f>
        <v/>
      </c>
    </row>
    <row r="437" spans="1:29" x14ac:dyDescent="0.2">
      <c r="A437" s="39" t="s">
        <v>2957</v>
      </c>
      <c r="B437" s="45" t="s">
        <v>561</v>
      </c>
      <c r="C437" s="40" t="s">
        <v>3333</v>
      </c>
      <c r="D437" s="53">
        <v>4819.6400000000003</v>
      </c>
      <c r="E437" s="53">
        <v>32829.879999999997</v>
      </c>
      <c r="F437" s="53">
        <v>382294.12000000017</v>
      </c>
      <c r="G437" s="578">
        <f t="shared" si="59"/>
        <v>419943.64000000019</v>
      </c>
      <c r="H437" s="41"/>
      <c r="I437" s="41"/>
      <c r="J437" s="41"/>
      <c r="K437" s="41">
        <f t="shared" si="61"/>
        <v>4819.6400000000003</v>
      </c>
      <c r="L437" s="41">
        <f t="shared" si="62"/>
        <v>32829.879999999997</v>
      </c>
      <c r="M437" s="41">
        <f t="shared" si="63"/>
        <v>382294.12000000017</v>
      </c>
      <c r="N437" s="363">
        <f t="shared" si="60"/>
        <v>0</v>
      </c>
      <c r="O437" s="43" t="s">
        <v>3309</v>
      </c>
      <c r="P437" s="43"/>
      <c r="R437" s="41">
        <f t="shared" si="56"/>
        <v>0</v>
      </c>
      <c r="S437" s="41">
        <f t="shared" si="57"/>
        <v>0</v>
      </c>
      <c r="T437" s="41">
        <f t="shared" si="58"/>
        <v>0</v>
      </c>
      <c r="U437" s="41"/>
      <c r="V437" s="44" t="str">
        <f>IF($P437="High",$S437,IF($P437="Mix",SUMIF('High_Low Voltage Mix Summary'!$B$10:$B$17,$B301,'High_Low Voltage Mix Summary'!$D$10:$D$17),""))</f>
        <v/>
      </c>
      <c r="W437" s="44" t="str">
        <f>IF($P437="Low",$S437,IF($P437="Mix",SUMIF('High_Low Voltage Mix Summary'!$B$10:$B$17,$B301,'High_Low Voltage Mix Summary'!$E$10:$E$17),""))</f>
        <v/>
      </c>
      <c r="X437" s="44" t="str">
        <f>IF($P437="High",$T437,IF($P437="Mix",SUMIF('High_Low Voltage Mix Summary'!$B$10:$B$17,$B301,'High_Low Voltage Mix Summary'!$F$10:$F$17),""))</f>
        <v/>
      </c>
      <c r="Y437" s="44" t="str">
        <f>IF($P437="Low",$T437,IF($P437="Mix",SUMIF('High_Low Voltage Mix Summary'!$B$10:$B$17,$B301,'High_Low Voltage Mix Summary'!$G$10:$G$17),""))</f>
        <v/>
      </c>
      <c r="Z437" s="44" t="str">
        <f>IF(OR($P437="High",$P437="Low"),"",IF($P437="Mix",SUMIF('High_Low Voltage Mix Summary'!$B$10:$B$17,$B301,'High_Low Voltage Mix Summary'!$H$10:$H$17),""))</f>
        <v/>
      </c>
      <c r="AB437" s="49">
        <f>SUMIF('Antelope Bailey Split BA'!$B$7:$B$29,B437,'Antelope Bailey Split BA'!$C$7:$C$29)</f>
        <v>0</v>
      </c>
      <c r="AC437" s="49" t="str">
        <f>IF(AND(AB437=1,'Plant Total by Account'!$H$1=2),"EKWRA","")</f>
        <v/>
      </c>
    </row>
    <row r="438" spans="1:29" x14ac:dyDescent="0.2">
      <c r="A438" s="39" t="s">
        <v>2446</v>
      </c>
      <c r="B438" s="45" t="s">
        <v>562</v>
      </c>
      <c r="C438" s="40" t="s">
        <v>3334</v>
      </c>
      <c r="D438" s="53">
        <v>4738.03</v>
      </c>
      <c r="E438" s="53">
        <v>126603.43000000002</v>
      </c>
      <c r="F438" s="53">
        <v>4610451.04</v>
      </c>
      <c r="G438" s="578">
        <f t="shared" si="59"/>
        <v>4741792.5</v>
      </c>
      <c r="H438" s="41"/>
      <c r="I438" s="41"/>
      <c r="J438" s="41"/>
      <c r="K438" s="41">
        <f t="shared" si="61"/>
        <v>4738.03</v>
      </c>
      <c r="L438" s="41">
        <f t="shared" si="62"/>
        <v>126603.43000000002</v>
      </c>
      <c r="M438" s="41">
        <f t="shared" si="63"/>
        <v>4610451.04</v>
      </c>
      <c r="N438" s="363">
        <f t="shared" si="60"/>
        <v>0</v>
      </c>
      <c r="O438" s="43" t="s">
        <v>3309</v>
      </c>
      <c r="P438" s="43"/>
      <c r="R438" s="41">
        <f t="shared" si="56"/>
        <v>0</v>
      </c>
      <c r="S438" s="41">
        <f t="shared" si="57"/>
        <v>0</v>
      </c>
      <c r="T438" s="41">
        <f t="shared" si="58"/>
        <v>0</v>
      </c>
      <c r="U438" s="41"/>
      <c r="V438" s="44" t="str">
        <f>IF($P438="High",$S438,IF($P438="Mix",SUMIF('High_Low Voltage Mix Summary'!$B$10:$B$17,$B302,'High_Low Voltage Mix Summary'!$D$10:$D$17),""))</f>
        <v/>
      </c>
      <c r="W438" s="44" t="str">
        <f>IF($P438="Low",$S438,IF($P438="Mix",SUMIF('High_Low Voltage Mix Summary'!$B$10:$B$17,$B302,'High_Low Voltage Mix Summary'!$E$10:$E$17),""))</f>
        <v/>
      </c>
      <c r="X438" s="44" t="str">
        <f>IF($P438="High",$T438,IF($P438="Mix",SUMIF('High_Low Voltage Mix Summary'!$B$10:$B$17,$B302,'High_Low Voltage Mix Summary'!$F$10:$F$17),""))</f>
        <v/>
      </c>
      <c r="Y438" s="44" t="str">
        <f>IF($P438="Low",$T438,IF($P438="Mix",SUMIF('High_Low Voltage Mix Summary'!$B$10:$B$17,$B302,'High_Low Voltage Mix Summary'!$G$10:$G$17),""))</f>
        <v/>
      </c>
      <c r="Z438" s="44" t="str">
        <f>IF(OR($P438="High",$P438="Low"),"",IF($P438="Mix",SUMIF('High_Low Voltage Mix Summary'!$B$10:$B$17,$B302,'High_Low Voltage Mix Summary'!$H$10:$H$17),""))</f>
        <v/>
      </c>
      <c r="AB438" s="49">
        <f>SUMIF('Antelope Bailey Split BA'!$B$7:$B$29,B438,'Antelope Bailey Split BA'!$C$7:$C$29)</f>
        <v>0</v>
      </c>
      <c r="AC438" s="49" t="str">
        <f>IF(AND(AB438=1,'Plant Total by Account'!$H$1=2),"EKWRA","")</f>
        <v/>
      </c>
    </row>
    <row r="439" spans="1:29" ht="12.75" customHeight="1" x14ac:dyDescent="0.2">
      <c r="A439" s="39" t="s">
        <v>2958</v>
      </c>
      <c r="B439" s="45" t="s">
        <v>563</v>
      </c>
      <c r="C439" s="40" t="s">
        <v>3334</v>
      </c>
      <c r="D439" s="53">
        <v>39026.129999999997</v>
      </c>
      <c r="E439" s="53">
        <v>510329.89</v>
      </c>
      <c r="F439" s="53">
        <v>8018466.7799999993</v>
      </c>
      <c r="G439" s="578">
        <f t="shared" si="59"/>
        <v>8567822.7999999989</v>
      </c>
      <c r="H439" s="41"/>
      <c r="I439" s="41"/>
      <c r="J439" s="41"/>
      <c r="K439" s="41">
        <f t="shared" si="61"/>
        <v>39026.129999999997</v>
      </c>
      <c r="L439" s="41">
        <f t="shared" si="62"/>
        <v>510329.89</v>
      </c>
      <c r="M439" s="41">
        <f t="shared" si="63"/>
        <v>8018466.7799999993</v>
      </c>
      <c r="N439" s="363">
        <f t="shared" si="60"/>
        <v>0</v>
      </c>
      <c r="O439" s="43" t="s">
        <v>3309</v>
      </c>
      <c r="P439" s="43"/>
      <c r="R439" s="41">
        <f t="shared" si="56"/>
        <v>0</v>
      </c>
      <c r="S439" s="41">
        <f t="shared" si="57"/>
        <v>0</v>
      </c>
      <c r="T439" s="41">
        <f t="shared" si="58"/>
        <v>0</v>
      </c>
      <c r="U439" s="41"/>
      <c r="V439" s="44" t="str">
        <f>IF($P439="High",$S439,IF($P439="Mix",SUMIF('High_Low Voltage Mix Summary'!$B$10:$B$17,$B665,'High_Low Voltage Mix Summary'!$D$10:$D$17),""))</f>
        <v/>
      </c>
      <c r="W439" s="44" t="str">
        <f>IF($P439="Low",$S439,IF($P439="Mix",SUMIF('High_Low Voltage Mix Summary'!$B$10:$B$17,$B665,'High_Low Voltage Mix Summary'!$E$10:$E$17),""))</f>
        <v/>
      </c>
      <c r="X439" s="44" t="str">
        <f>IF($P439="High",$T439,IF($P439="Mix",SUMIF('High_Low Voltage Mix Summary'!$B$10:$B$17,$B665,'High_Low Voltage Mix Summary'!$F$10:$F$17),""))</f>
        <v/>
      </c>
      <c r="Y439" s="44" t="str">
        <f>IF($P439="Low",$T439,IF($P439="Mix",SUMIF('High_Low Voltage Mix Summary'!$B$10:$B$17,$B665,'High_Low Voltage Mix Summary'!$G$10:$G$17),""))</f>
        <v/>
      </c>
      <c r="Z439" s="44" t="str">
        <f>IF(OR($P439="High",$P439="Low"),"",IF($P439="Mix",SUMIF('High_Low Voltage Mix Summary'!$B$10:$B$17,$B665,'High_Low Voltage Mix Summary'!$H$10:$H$17),""))</f>
        <v/>
      </c>
      <c r="AB439" s="49">
        <f>SUMIF('Antelope Bailey Split BA'!$B$7:$B$29,B439,'Antelope Bailey Split BA'!$C$7:$C$29)</f>
        <v>0</v>
      </c>
      <c r="AC439" s="49" t="str">
        <f>IF(AND(AB439=1,'Plant Total by Account'!$H$1=2),"EKWRA","")</f>
        <v/>
      </c>
    </row>
    <row r="440" spans="1:29" x14ac:dyDescent="0.2">
      <c r="A440" s="39" t="s">
        <v>2959</v>
      </c>
      <c r="B440" s="45" t="s">
        <v>564</v>
      </c>
      <c r="C440" s="40" t="s">
        <v>3334</v>
      </c>
      <c r="D440" s="53">
        <v>1915.38</v>
      </c>
      <c r="E440" s="53">
        <v>491705.53</v>
      </c>
      <c r="F440" s="53">
        <v>6708629.9899999984</v>
      </c>
      <c r="G440" s="578">
        <f t="shared" si="59"/>
        <v>7202250.8999999985</v>
      </c>
      <c r="H440" s="41"/>
      <c r="I440" s="41"/>
      <c r="J440" s="41"/>
      <c r="K440" s="41">
        <f t="shared" si="61"/>
        <v>1915.38</v>
      </c>
      <c r="L440" s="41">
        <f t="shared" si="62"/>
        <v>491705.53</v>
      </c>
      <c r="M440" s="41">
        <f t="shared" si="63"/>
        <v>6708629.9899999984</v>
      </c>
      <c r="N440" s="363">
        <f t="shared" si="60"/>
        <v>0</v>
      </c>
      <c r="O440" s="43" t="s">
        <v>3309</v>
      </c>
      <c r="P440" s="43"/>
      <c r="R440" s="41">
        <f t="shared" si="56"/>
        <v>0</v>
      </c>
      <c r="S440" s="41">
        <f t="shared" si="57"/>
        <v>0</v>
      </c>
      <c r="T440" s="41">
        <f t="shared" si="58"/>
        <v>0</v>
      </c>
      <c r="U440" s="41"/>
      <c r="V440" s="44" t="str">
        <f>IF($P440="High",$S440,IF($P440="Mix",SUMIF('High_Low Voltage Mix Summary'!$B$10:$B$17,$B303,'High_Low Voltage Mix Summary'!$D$10:$D$17),""))</f>
        <v/>
      </c>
      <c r="W440" s="44" t="str">
        <f>IF($P440="Low",$S440,IF($P440="Mix",SUMIF('High_Low Voltage Mix Summary'!$B$10:$B$17,$B303,'High_Low Voltage Mix Summary'!$E$10:$E$17),""))</f>
        <v/>
      </c>
      <c r="X440" s="44" t="str">
        <f>IF($P440="High",$T440,IF($P440="Mix",SUMIF('High_Low Voltage Mix Summary'!$B$10:$B$17,$B303,'High_Low Voltage Mix Summary'!$F$10:$F$17),""))</f>
        <v/>
      </c>
      <c r="Y440" s="44" t="str">
        <f>IF($P440="Low",$T440,IF($P440="Mix",SUMIF('High_Low Voltage Mix Summary'!$B$10:$B$17,$B303,'High_Low Voltage Mix Summary'!$G$10:$G$17),""))</f>
        <v/>
      </c>
      <c r="Z440" s="44" t="str">
        <f>IF(OR($P440="High",$P440="Low"),"",IF($P440="Mix",SUMIF('High_Low Voltage Mix Summary'!$B$10:$B$17,$B303,'High_Low Voltage Mix Summary'!$H$10:$H$17),""))</f>
        <v/>
      </c>
      <c r="AB440" s="49">
        <f>SUMIF('Antelope Bailey Split BA'!$B$7:$B$29,B440,'Antelope Bailey Split BA'!$C$7:$C$29)</f>
        <v>0</v>
      </c>
      <c r="AC440" s="49" t="str">
        <f>IF(AND(AB440=1,'Plant Total by Account'!$H$1=2),"EKWRA","")</f>
        <v/>
      </c>
    </row>
    <row r="441" spans="1:29" x14ac:dyDescent="0.2">
      <c r="A441" s="39" t="s">
        <v>2960</v>
      </c>
      <c r="B441" s="45" t="s">
        <v>565</v>
      </c>
      <c r="C441" s="40" t="s">
        <v>3334</v>
      </c>
      <c r="D441" s="53">
        <v>14411.65</v>
      </c>
      <c r="E441" s="53">
        <v>243862.88000000003</v>
      </c>
      <c r="F441" s="53">
        <v>7933937.4499999965</v>
      </c>
      <c r="G441" s="578">
        <f t="shared" si="59"/>
        <v>8192211.9799999967</v>
      </c>
      <c r="H441" s="41"/>
      <c r="I441" s="41"/>
      <c r="J441" s="41"/>
      <c r="K441" s="41">
        <f t="shared" si="61"/>
        <v>14411.65</v>
      </c>
      <c r="L441" s="41">
        <f t="shared" si="62"/>
        <v>243862.88000000003</v>
      </c>
      <c r="M441" s="41">
        <f t="shared" si="63"/>
        <v>7933937.4499999965</v>
      </c>
      <c r="N441" s="363">
        <f t="shared" si="60"/>
        <v>0</v>
      </c>
      <c r="O441" s="43" t="s">
        <v>3309</v>
      </c>
      <c r="P441" s="43"/>
      <c r="R441" s="41">
        <f t="shared" si="56"/>
        <v>0</v>
      </c>
      <c r="S441" s="41">
        <f t="shared" si="57"/>
        <v>0</v>
      </c>
      <c r="T441" s="41">
        <f t="shared" si="58"/>
        <v>0</v>
      </c>
      <c r="U441" s="41"/>
      <c r="V441" s="44" t="str">
        <f>IF($P441="High",$S441,IF($P441="Mix",SUMIF('High_Low Voltage Mix Summary'!$B$10:$B$17,$B304,'High_Low Voltage Mix Summary'!$D$10:$D$17),""))</f>
        <v/>
      </c>
      <c r="W441" s="44" t="str">
        <f>IF($P441="Low",$S441,IF($P441="Mix",SUMIF('High_Low Voltage Mix Summary'!$B$10:$B$17,$B304,'High_Low Voltage Mix Summary'!$E$10:$E$17),""))</f>
        <v/>
      </c>
      <c r="X441" s="44" t="str">
        <f>IF($P441="High",$T441,IF($P441="Mix",SUMIF('High_Low Voltage Mix Summary'!$B$10:$B$17,$B304,'High_Low Voltage Mix Summary'!$F$10:$F$17),""))</f>
        <v/>
      </c>
      <c r="Y441" s="44" t="str">
        <f>IF($P441="Low",$T441,IF($P441="Mix",SUMIF('High_Low Voltage Mix Summary'!$B$10:$B$17,$B304,'High_Low Voltage Mix Summary'!$G$10:$G$17),""))</f>
        <v/>
      </c>
      <c r="Z441" s="44" t="str">
        <f>IF(OR($P441="High",$P441="Low"),"",IF($P441="Mix",SUMIF('High_Low Voltage Mix Summary'!$B$10:$B$17,$B304,'High_Low Voltage Mix Summary'!$H$10:$H$17),""))</f>
        <v/>
      </c>
      <c r="AB441" s="49">
        <f>SUMIF('Antelope Bailey Split BA'!$B$7:$B$29,B441,'Antelope Bailey Split BA'!$C$7:$C$29)</f>
        <v>0</v>
      </c>
      <c r="AC441" s="49" t="str">
        <f>IF(AND(AB441=1,'Plant Total by Account'!$H$1=2),"EKWRA","")</f>
        <v/>
      </c>
    </row>
    <row r="442" spans="1:29" x14ac:dyDescent="0.2">
      <c r="A442" s="39" t="s">
        <v>2961</v>
      </c>
      <c r="B442" s="45" t="s">
        <v>566</v>
      </c>
      <c r="C442" s="40" t="s">
        <v>3333</v>
      </c>
      <c r="D442" s="53">
        <v>9257.16</v>
      </c>
      <c r="E442" s="53">
        <v>28410.320000000003</v>
      </c>
      <c r="F442" s="53">
        <v>2742931.1999999988</v>
      </c>
      <c r="G442" s="578">
        <f t="shared" si="59"/>
        <v>2780598.6799999988</v>
      </c>
      <c r="H442" s="41"/>
      <c r="I442" s="41"/>
      <c r="J442" s="41"/>
      <c r="K442" s="41">
        <f t="shared" si="61"/>
        <v>9257.16</v>
      </c>
      <c r="L442" s="41">
        <f t="shared" si="62"/>
        <v>28410.320000000003</v>
      </c>
      <c r="M442" s="41">
        <f t="shared" si="63"/>
        <v>2742931.1999999988</v>
      </c>
      <c r="N442" s="363">
        <f t="shared" si="60"/>
        <v>0</v>
      </c>
      <c r="O442" s="43" t="s">
        <v>3309</v>
      </c>
      <c r="P442" s="43"/>
      <c r="R442" s="41">
        <f t="shared" si="56"/>
        <v>0</v>
      </c>
      <c r="S442" s="41">
        <f t="shared" si="57"/>
        <v>0</v>
      </c>
      <c r="T442" s="41">
        <f t="shared" si="58"/>
        <v>0</v>
      </c>
      <c r="U442" s="41"/>
      <c r="V442" s="44" t="str">
        <f>IF($P442="High",$S442,IF($P442="Mix",SUMIF('High_Low Voltage Mix Summary'!$B$10:$B$17,$B305,'High_Low Voltage Mix Summary'!$D$10:$D$17),""))</f>
        <v/>
      </c>
      <c r="W442" s="44" t="str">
        <f>IF($P442="Low",$S442,IF($P442="Mix",SUMIF('High_Low Voltage Mix Summary'!$B$10:$B$17,$B305,'High_Low Voltage Mix Summary'!$E$10:$E$17),""))</f>
        <v/>
      </c>
      <c r="X442" s="44" t="str">
        <f>IF($P442="High",$T442,IF($P442="Mix",SUMIF('High_Low Voltage Mix Summary'!$B$10:$B$17,$B305,'High_Low Voltage Mix Summary'!$F$10:$F$17),""))</f>
        <v/>
      </c>
      <c r="Y442" s="44" t="str">
        <f>IF($P442="Low",$T442,IF($P442="Mix",SUMIF('High_Low Voltage Mix Summary'!$B$10:$B$17,$B305,'High_Low Voltage Mix Summary'!$G$10:$G$17),""))</f>
        <v/>
      </c>
      <c r="Z442" s="44" t="str">
        <f>IF(OR($P442="High",$P442="Low"),"",IF($P442="Mix",SUMIF('High_Low Voltage Mix Summary'!$B$10:$B$17,$B305,'High_Low Voltage Mix Summary'!$H$10:$H$17),""))</f>
        <v/>
      </c>
      <c r="AB442" s="49">
        <f>SUMIF('Antelope Bailey Split BA'!$B$7:$B$29,B442,'Antelope Bailey Split BA'!$C$7:$C$29)</f>
        <v>0</v>
      </c>
      <c r="AC442" s="49" t="str">
        <f>IF(AND(AB442=1,'Plant Total by Account'!$H$1=2),"EKWRA","")</f>
        <v/>
      </c>
    </row>
    <row r="443" spans="1:29" x14ac:dyDescent="0.2">
      <c r="A443" s="39" t="s">
        <v>2962</v>
      </c>
      <c r="B443" s="45" t="s">
        <v>567</v>
      </c>
      <c r="C443" s="40" t="s">
        <v>3333</v>
      </c>
      <c r="D443" s="53">
        <v>0</v>
      </c>
      <c r="E443" s="53">
        <v>129667.93000000001</v>
      </c>
      <c r="F443" s="53">
        <v>496750.05000000016</v>
      </c>
      <c r="G443" s="578">
        <f t="shared" si="59"/>
        <v>626417.98000000021</v>
      </c>
      <c r="H443" s="41"/>
      <c r="I443" s="41"/>
      <c r="J443" s="41"/>
      <c r="K443" s="41">
        <f t="shared" si="61"/>
        <v>0</v>
      </c>
      <c r="L443" s="41">
        <f t="shared" si="62"/>
        <v>129667.93000000001</v>
      </c>
      <c r="M443" s="41">
        <f t="shared" si="63"/>
        <v>496750.05000000016</v>
      </c>
      <c r="N443" s="363">
        <f t="shared" si="60"/>
        <v>0</v>
      </c>
      <c r="O443" s="43" t="s">
        <v>3309</v>
      </c>
      <c r="P443" s="43"/>
      <c r="R443" s="41">
        <f t="shared" si="56"/>
        <v>0</v>
      </c>
      <c r="S443" s="41">
        <f t="shared" si="57"/>
        <v>0</v>
      </c>
      <c r="T443" s="41">
        <f t="shared" si="58"/>
        <v>0</v>
      </c>
      <c r="U443" s="41"/>
      <c r="V443" s="44" t="str">
        <f>IF($P443="High",$S443,IF($P443="Mix",SUMIF('High_Low Voltage Mix Summary'!$B$10:$B$17,$B306,'High_Low Voltage Mix Summary'!$D$10:$D$17),""))</f>
        <v/>
      </c>
      <c r="W443" s="44" t="str">
        <f>IF($P443="Low",$S443,IF($P443="Mix",SUMIF('High_Low Voltage Mix Summary'!$B$10:$B$17,$B306,'High_Low Voltage Mix Summary'!$E$10:$E$17),""))</f>
        <v/>
      </c>
      <c r="X443" s="44" t="str">
        <f>IF($P443="High",$T443,IF($P443="Mix",SUMIF('High_Low Voltage Mix Summary'!$B$10:$B$17,$B306,'High_Low Voltage Mix Summary'!$F$10:$F$17),""))</f>
        <v/>
      </c>
      <c r="Y443" s="44" t="str">
        <f>IF($P443="Low",$T443,IF($P443="Mix",SUMIF('High_Low Voltage Mix Summary'!$B$10:$B$17,$B306,'High_Low Voltage Mix Summary'!$G$10:$G$17),""))</f>
        <v/>
      </c>
      <c r="Z443" s="44" t="str">
        <f>IF(OR($P443="High",$P443="Low"),"",IF($P443="Mix",SUMIF('High_Low Voltage Mix Summary'!$B$10:$B$17,$B306,'High_Low Voltage Mix Summary'!$H$10:$H$17),""))</f>
        <v/>
      </c>
      <c r="AB443" s="49">
        <f>SUMIF('Antelope Bailey Split BA'!$B$7:$B$29,B443,'Antelope Bailey Split BA'!$C$7:$C$29)</f>
        <v>0</v>
      </c>
      <c r="AC443" s="49" t="str">
        <f>IF(AND(AB443=1,'Plant Total by Account'!$H$1=2),"EKWRA","")</f>
        <v/>
      </c>
    </row>
    <row r="444" spans="1:29" x14ac:dyDescent="0.2">
      <c r="A444" s="39" t="s">
        <v>1725</v>
      </c>
      <c r="B444" s="45" t="s">
        <v>2963</v>
      </c>
      <c r="C444" s="40" t="s">
        <v>3334</v>
      </c>
      <c r="D444" s="53">
        <v>0</v>
      </c>
      <c r="E444" s="53">
        <v>0</v>
      </c>
      <c r="F444" s="53">
        <v>6992.81</v>
      </c>
      <c r="G444" s="578">
        <f t="shared" si="59"/>
        <v>6992.81</v>
      </c>
      <c r="H444" s="41"/>
      <c r="I444" s="41"/>
      <c r="J444" s="41"/>
      <c r="K444" s="41">
        <f t="shared" si="61"/>
        <v>0</v>
      </c>
      <c r="L444" s="41">
        <f t="shared" si="62"/>
        <v>0</v>
      </c>
      <c r="M444" s="41">
        <f t="shared" si="63"/>
        <v>6992.81</v>
      </c>
      <c r="N444" s="363">
        <f t="shared" si="60"/>
        <v>0</v>
      </c>
      <c r="O444" s="43" t="s">
        <v>3309</v>
      </c>
      <c r="P444" s="43"/>
      <c r="R444" s="41">
        <f t="shared" si="56"/>
        <v>0</v>
      </c>
      <c r="S444" s="41">
        <f t="shared" si="57"/>
        <v>0</v>
      </c>
      <c r="T444" s="41">
        <f t="shared" si="58"/>
        <v>0</v>
      </c>
      <c r="U444" s="41"/>
      <c r="V444" s="44" t="str">
        <f>IF($P444="High",$S444,IF($P444="Mix",SUMIF('High_Low Voltage Mix Summary'!$B$10:$B$17,$B666,'High_Low Voltage Mix Summary'!$D$10:$D$17),""))</f>
        <v/>
      </c>
      <c r="W444" s="44" t="str">
        <f>IF($P444="Low",$S444,IF($P444="Mix",SUMIF('High_Low Voltage Mix Summary'!$B$10:$B$17,$B666,'High_Low Voltage Mix Summary'!$E$10:$E$17),""))</f>
        <v/>
      </c>
      <c r="X444" s="44" t="str">
        <f>IF($P444="High",$T444,IF($P444="Mix",SUMIF('High_Low Voltage Mix Summary'!$B$10:$B$17,$B666,'High_Low Voltage Mix Summary'!$F$10:$F$17),""))</f>
        <v/>
      </c>
      <c r="Y444" s="44" t="str">
        <f>IF($P444="Low",$T444,IF($P444="Mix",SUMIF('High_Low Voltage Mix Summary'!$B$10:$B$17,$B666,'High_Low Voltage Mix Summary'!$G$10:$G$17),""))</f>
        <v/>
      </c>
      <c r="Z444" s="44" t="str">
        <f>IF(OR($P444="High",$P444="Low"),"",IF($P444="Mix",SUMIF('High_Low Voltage Mix Summary'!$B$10:$B$17,$B666,'High_Low Voltage Mix Summary'!$H$10:$H$17),""))</f>
        <v/>
      </c>
      <c r="AB444" s="49">
        <f>SUMIF('Antelope Bailey Split BA'!$B$7:$B$29,B444,'Antelope Bailey Split BA'!$C$7:$C$29)</f>
        <v>0</v>
      </c>
      <c r="AC444" s="49" t="str">
        <f>IF(AND(AB444=1,'Plant Total by Account'!$H$1=2),"EKWRA","")</f>
        <v/>
      </c>
    </row>
    <row r="445" spans="1:29" x14ac:dyDescent="0.2">
      <c r="A445" s="39" t="s">
        <v>2964</v>
      </c>
      <c r="B445" s="45" t="s">
        <v>568</v>
      </c>
      <c r="C445" s="40" t="s">
        <v>3333</v>
      </c>
      <c r="D445" s="53">
        <v>1612.23</v>
      </c>
      <c r="E445" s="53">
        <v>3318.82</v>
      </c>
      <c r="F445" s="53">
        <v>232846.37</v>
      </c>
      <c r="G445" s="578">
        <f t="shared" si="59"/>
        <v>237777.41999999998</v>
      </c>
      <c r="H445" s="41"/>
      <c r="I445" s="41"/>
      <c r="J445" s="41"/>
      <c r="K445" s="41">
        <f t="shared" si="61"/>
        <v>1612.23</v>
      </c>
      <c r="L445" s="41">
        <f t="shared" si="62"/>
        <v>3318.82</v>
      </c>
      <c r="M445" s="41">
        <f t="shared" si="63"/>
        <v>232846.37</v>
      </c>
      <c r="N445" s="363">
        <f t="shared" si="60"/>
        <v>0</v>
      </c>
      <c r="O445" s="43" t="s">
        <v>3309</v>
      </c>
      <c r="P445" s="43"/>
      <c r="R445" s="41">
        <f t="shared" si="56"/>
        <v>0</v>
      </c>
      <c r="S445" s="41">
        <f t="shared" si="57"/>
        <v>0</v>
      </c>
      <c r="T445" s="41">
        <f t="shared" si="58"/>
        <v>0</v>
      </c>
      <c r="U445" s="41"/>
      <c r="V445" s="44" t="str">
        <f>IF($P445="High",$S445,IF($P445="Mix",SUMIF('High_Low Voltage Mix Summary'!$B$10:$B$17,$B667,'High_Low Voltage Mix Summary'!$D$10:$D$17),""))</f>
        <v/>
      </c>
      <c r="W445" s="44" t="str">
        <f>IF($P445="Low",$S445,IF($P445="Mix",SUMIF('High_Low Voltage Mix Summary'!$B$10:$B$17,$B667,'High_Low Voltage Mix Summary'!$E$10:$E$17),""))</f>
        <v/>
      </c>
      <c r="X445" s="44" t="str">
        <f>IF($P445="High",$T445,IF($P445="Mix",SUMIF('High_Low Voltage Mix Summary'!$B$10:$B$17,$B667,'High_Low Voltage Mix Summary'!$F$10:$F$17),""))</f>
        <v/>
      </c>
      <c r="Y445" s="44" t="str">
        <f>IF($P445="Low",$T445,IF($P445="Mix",SUMIF('High_Low Voltage Mix Summary'!$B$10:$B$17,$B667,'High_Low Voltage Mix Summary'!$G$10:$G$17),""))</f>
        <v/>
      </c>
      <c r="Z445" s="44" t="str">
        <f>IF(OR($P445="High",$P445="Low"),"",IF($P445="Mix",SUMIF('High_Low Voltage Mix Summary'!$B$10:$B$17,$B667,'High_Low Voltage Mix Summary'!$H$10:$H$17),""))</f>
        <v/>
      </c>
      <c r="AB445" s="49">
        <f>SUMIF('Antelope Bailey Split BA'!$B$7:$B$29,B445,'Antelope Bailey Split BA'!$C$7:$C$29)</f>
        <v>0</v>
      </c>
      <c r="AC445" s="49" t="str">
        <f>IF(AND(AB445=1,'Plant Total by Account'!$H$1=2),"EKWRA","")</f>
        <v/>
      </c>
    </row>
    <row r="446" spans="1:29" x14ac:dyDescent="0.2">
      <c r="A446" s="39" t="s">
        <v>2965</v>
      </c>
      <c r="B446" s="45" t="s">
        <v>569</v>
      </c>
      <c r="C446" s="40" t="s">
        <v>3333</v>
      </c>
      <c r="D446" s="53">
        <v>4294.57</v>
      </c>
      <c r="E446" s="53">
        <v>57703.66</v>
      </c>
      <c r="F446" s="53">
        <v>1657852.0299999996</v>
      </c>
      <c r="G446" s="578">
        <f t="shared" si="59"/>
        <v>1719850.2599999995</v>
      </c>
      <c r="H446" s="41"/>
      <c r="I446" s="41"/>
      <c r="J446" s="41"/>
      <c r="K446" s="41">
        <f t="shared" si="61"/>
        <v>4294.57</v>
      </c>
      <c r="L446" s="41">
        <f t="shared" si="62"/>
        <v>57703.66</v>
      </c>
      <c r="M446" s="41">
        <f t="shared" si="63"/>
        <v>1657852.0299999996</v>
      </c>
      <c r="N446" s="363">
        <f t="shared" si="60"/>
        <v>0</v>
      </c>
      <c r="O446" s="43" t="s">
        <v>3309</v>
      </c>
      <c r="P446" s="43"/>
      <c r="R446" s="41">
        <f t="shared" si="56"/>
        <v>0</v>
      </c>
      <c r="S446" s="41">
        <f t="shared" si="57"/>
        <v>0</v>
      </c>
      <c r="T446" s="41">
        <f t="shared" si="58"/>
        <v>0</v>
      </c>
      <c r="U446" s="41"/>
      <c r="V446" s="44" t="str">
        <f>IF($P446="High",$S446,IF($P446="Mix",SUMIF('High_Low Voltage Mix Summary'!$B$10:$B$17,$B668,'High_Low Voltage Mix Summary'!$D$10:$D$17),""))</f>
        <v/>
      </c>
      <c r="W446" s="44" t="str">
        <f>IF($P446="Low",$S446,IF($P446="Mix",SUMIF('High_Low Voltage Mix Summary'!$B$10:$B$17,$B668,'High_Low Voltage Mix Summary'!$E$10:$E$17),""))</f>
        <v/>
      </c>
      <c r="X446" s="44" t="str">
        <f>IF($P446="High",$T446,IF($P446="Mix",SUMIF('High_Low Voltage Mix Summary'!$B$10:$B$17,$B668,'High_Low Voltage Mix Summary'!$F$10:$F$17),""))</f>
        <v/>
      </c>
      <c r="Y446" s="44" t="str">
        <f>IF($P446="Low",$T446,IF($P446="Mix",SUMIF('High_Low Voltage Mix Summary'!$B$10:$B$17,$B668,'High_Low Voltage Mix Summary'!$G$10:$G$17),""))</f>
        <v/>
      </c>
      <c r="Z446" s="44" t="str">
        <f>IF(OR($P446="High",$P446="Low"),"",IF($P446="Mix",SUMIF('High_Low Voltage Mix Summary'!$B$10:$B$17,$B668,'High_Low Voltage Mix Summary'!$H$10:$H$17),""))</f>
        <v/>
      </c>
      <c r="AB446" s="49">
        <f>SUMIF('Antelope Bailey Split BA'!$B$7:$B$29,B446,'Antelope Bailey Split BA'!$C$7:$C$29)</f>
        <v>0</v>
      </c>
      <c r="AC446" s="49" t="str">
        <f>IF(AND(AB446=1,'Plant Total by Account'!$H$1=2),"EKWRA","")</f>
        <v/>
      </c>
    </row>
    <row r="447" spans="1:29" x14ac:dyDescent="0.2">
      <c r="A447" s="39" t="s">
        <v>2966</v>
      </c>
      <c r="B447" s="45" t="s">
        <v>570</v>
      </c>
      <c r="C447" s="40" t="s">
        <v>3334</v>
      </c>
      <c r="D447" s="53">
        <v>879.71</v>
      </c>
      <c r="E447" s="53">
        <v>59716.44</v>
      </c>
      <c r="F447" s="53">
        <v>4859944.6400000025</v>
      </c>
      <c r="G447" s="578">
        <f t="shared" si="59"/>
        <v>4920540.7900000028</v>
      </c>
      <c r="H447" s="41"/>
      <c r="I447" s="41"/>
      <c r="J447" s="41"/>
      <c r="K447" s="41">
        <f t="shared" si="61"/>
        <v>879.71</v>
      </c>
      <c r="L447" s="41">
        <f t="shared" si="62"/>
        <v>59716.44</v>
      </c>
      <c r="M447" s="41">
        <f t="shared" si="63"/>
        <v>4859944.6400000025</v>
      </c>
      <c r="N447" s="363">
        <f t="shared" si="60"/>
        <v>0</v>
      </c>
      <c r="O447" s="43" t="s">
        <v>3309</v>
      </c>
      <c r="P447" s="43"/>
      <c r="R447" s="41">
        <f t="shared" si="56"/>
        <v>0</v>
      </c>
      <c r="S447" s="41">
        <f t="shared" si="57"/>
        <v>0</v>
      </c>
      <c r="T447" s="41">
        <f t="shared" si="58"/>
        <v>0</v>
      </c>
      <c r="U447" s="41"/>
      <c r="V447" s="44" t="str">
        <f>IF($P447="High",$S447,IF($P447="Mix",SUMIF('High_Low Voltage Mix Summary'!$B$10:$B$17,$B669,'High_Low Voltage Mix Summary'!$D$10:$D$17),""))</f>
        <v/>
      </c>
      <c r="W447" s="44" t="str">
        <f>IF($P447="Low",$S447,IF($P447="Mix",SUMIF('High_Low Voltage Mix Summary'!$B$10:$B$17,$B669,'High_Low Voltage Mix Summary'!$E$10:$E$17),""))</f>
        <v/>
      </c>
      <c r="X447" s="44" t="str">
        <f>IF($P447="High",$T447,IF($P447="Mix",SUMIF('High_Low Voltage Mix Summary'!$B$10:$B$17,$B669,'High_Low Voltage Mix Summary'!$F$10:$F$17),""))</f>
        <v/>
      </c>
      <c r="Y447" s="44" t="str">
        <f>IF($P447="Low",$T447,IF($P447="Mix",SUMIF('High_Low Voltage Mix Summary'!$B$10:$B$17,$B669,'High_Low Voltage Mix Summary'!$G$10:$G$17),""))</f>
        <v/>
      </c>
      <c r="Z447" s="44" t="str">
        <f>IF(OR($P447="High",$P447="Low"),"",IF($P447="Mix",SUMIF('High_Low Voltage Mix Summary'!$B$10:$B$17,$B669,'High_Low Voltage Mix Summary'!$H$10:$H$17),""))</f>
        <v/>
      </c>
      <c r="AB447" s="49">
        <f>SUMIF('Antelope Bailey Split BA'!$B$7:$B$29,B447,'Antelope Bailey Split BA'!$C$7:$C$29)</f>
        <v>0</v>
      </c>
      <c r="AC447" s="49" t="str">
        <f>IF(AND(AB447=1,'Plant Total by Account'!$H$1=2),"EKWRA","")</f>
        <v/>
      </c>
    </row>
    <row r="448" spans="1:29" x14ac:dyDescent="0.2">
      <c r="A448" s="39" t="s">
        <v>2967</v>
      </c>
      <c r="B448" s="45" t="s">
        <v>571</v>
      </c>
      <c r="C448" s="40" t="s">
        <v>3333</v>
      </c>
      <c r="D448" s="53">
        <v>7625.28</v>
      </c>
      <c r="E448" s="53">
        <v>58418.93</v>
      </c>
      <c r="F448" s="53">
        <v>946256.13999999966</v>
      </c>
      <c r="G448" s="578">
        <f t="shared" si="59"/>
        <v>1012300.3499999996</v>
      </c>
      <c r="H448" s="41"/>
      <c r="I448" s="41"/>
      <c r="J448" s="41"/>
      <c r="K448" s="41">
        <f t="shared" si="61"/>
        <v>7625.28</v>
      </c>
      <c r="L448" s="41">
        <f t="shared" si="62"/>
        <v>58418.93</v>
      </c>
      <c r="M448" s="41">
        <f t="shared" si="63"/>
        <v>946256.13999999966</v>
      </c>
      <c r="N448" s="363">
        <f t="shared" si="60"/>
        <v>0</v>
      </c>
      <c r="O448" s="43" t="s">
        <v>3309</v>
      </c>
      <c r="P448" s="43"/>
      <c r="R448" s="41">
        <f t="shared" si="56"/>
        <v>0</v>
      </c>
      <c r="S448" s="41">
        <f t="shared" si="57"/>
        <v>0</v>
      </c>
      <c r="T448" s="41">
        <f t="shared" si="58"/>
        <v>0</v>
      </c>
      <c r="U448" s="41"/>
      <c r="V448" s="44" t="str">
        <f>IF($P448="High",$S448,IF($P448="Mix",SUMIF('High_Low Voltage Mix Summary'!$B$10:$B$17,$B309,'High_Low Voltage Mix Summary'!$D$10:$D$17),""))</f>
        <v/>
      </c>
      <c r="W448" s="44" t="str">
        <f>IF($P448="Low",$S448,IF($P448="Mix",SUMIF('High_Low Voltage Mix Summary'!$B$10:$B$17,$B309,'High_Low Voltage Mix Summary'!$E$10:$E$17),""))</f>
        <v/>
      </c>
      <c r="X448" s="44" t="str">
        <f>IF($P448="High",$T448,IF($P448="Mix",SUMIF('High_Low Voltage Mix Summary'!$B$10:$B$17,$B309,'High_Low Voltage Mix Summary'!$F$10:$F$17),""))</f>
        <v/>
      </c>
      <c r="Y448" s="44" t="str">
        <f>IF($P448="Low",$T448,IF($P448="Mix",SUMIF('High_Low Voltage Mix Summary'!$B$10:$B$17,$B309,'High_Low Voltage Mix Summary'!$G$10:$G$17),""))</f>
        <v/>
      </c>
      <c r="Z448" s="44" t="str">
        <f>IF(OR($P448="High",$P448="Low"),"",IF($P448="Mix",SUMIF('High_Low Voltage Mix Summary'!$B$10:$B$17,$B309,'High_Low Voltage Mix Summary'!$H$10:$H$17),""))</f>
        <v/>
      </c>
      <c r="AB448" s="49">
        <f>SUMIF('Antelope Bailey Split BA'!$B$7:$B$29,B448,'Antelope Bailey Split BA'!$C$7:$C$29)</f>
        <v>0</v>
      </c>
      <c r="AC448" s="49" t="str">
        <f>IF(AND(AB448=1,'Plant Total by Account'!$H$1=2),"EKWRA","")</f>
        <v/>
      </c>
    </row>
    <row r="449" spans="1:29" x14ac:dyDescent="0.2">
      <c r="A449" s="39" t="s">
        <v>2968</v>
      </c>
      <c r="B449" s="45" t="s">
        <v>572</v>
      </c>
      <c r="C449" s="40" t="s">
        <v>3334</v>
      </c>
      <c r="D449" s="53">
        <v>18481.64</v>
      </c>
      <c r="E449" s="53">
        <v>231278.01</v>
      </c>
      <c r="F449" s="53">
        <v>4420451.49</v>
      </c>
      <c r="G449" s="578">
        <f t="shared" si="59"/>
        <v>4670211.1400000006</v>
      </c>
      <c r="H449" s="41"/>
      <c r="I449" s="41"/>
      <c r="J449" s="41"/>
      <c r="K449" s="41">
        <f t="shared" si="61"/>
        <v>18481.64</v>
      </c>
      <c r="L449" s="41">
        <f t="shared" si="62"/>
        <v>231278.01</v>
      </c>
      <c r="M449" s="41">
        <f t="shared" si="63"/>
        <v>4420451.49</v>
      </c>
      <c r="N449" s="363">
        <f t="shared" si="60"/>
        <v>0</v>
      </c>
      <c r="O449" s="43" t="s">
        <v>3309</v>
      </c>
      <c r="P449" s="43"/>
      <c r="R449" s="41">
        <f t="shared" si="56"/>
        <v>0</v>
      </c>
      <c r="S449" s="41">
        <f t="shared" si="57"/>
        <v>0</v>
      </c>
      <c r="T449" s="41">
        <f t="shared" si="58"/>
        <v>0</v>
      </c>
      <c r="U449" s="41"/>
      <c r="V449" s="44" t="str">
        <f>IF($P449="High",$S449,IF($P449="Mix",SUMIF('High_Low Voltage Mix Summary'!$B$10:$B$17,$B670,'High_Low Voltage Mix Summary'!$D$10:$D$17),""))</f>
        <v/>
      </c>
      <c r="W449" s="44" t="str">
        <f>IF($P449="Low",$S449,IF($P449="Mix",SUMIF('High_Low Voltage Mix Summary'!$B$10:$B$17,$B670,'High_Low Voltage Mix Summary'!$E$10:$E$17),""))</f>
        <v/>
      </c>
      <c r="X449" s="44" t="str">
        <f>IF($P449="High",$T449,IF($P449="Mix",SUMIF('High_Low Voltage Mix Summary'!$B$10:$B$17,$B670,'High_Low Voltage Mix Summary'!$F$10:$F$17),""))</f>
        <v/>
      </c>
      <c r="Y449" s="44" t="str">
        <f>IF($P449="Low",$T449,IF($P449="Mix",SUMIF('High_Low Voltage Mix Summary'!$B$10:$B$17,$B670,'High_Low Voltage Mix Summary'!$G$10:$G$17),""))</f>
        <v/>
      </c>
      <c r="Z449" s="44" t="str">
        <f>IF(OR($P449="High",$P449="Low"),"",IF($P449="Mix",SUMIF('High_Low Voltage Mix Summary'!$B$10:$B$17,$B670,'High_Low Voltage Mix Summary'!$H$10:$H$17),""))</f>
        <v/>
      </c>
      <c r="AB449" s="49">
        <f>SUMIF('Antelope Bailey Split BA'!$B$7:$B$29,B449,'Antelope Bailey Split BA'!$C$7:$C$29)</f>
        <v>0</v>
      </c>
      <c r="AC449" s="49" t="str">
        <f>IF(AND(AB449=1,'Plant Total by Account'!$H$1=2),"EKWRA","")</f>
        <v/>
      </c>
    </row>
    <row r="450" spans="1:29" x14ac:dyDescent="0.2">
      <c r="A450" s="39" t="s">
        <v>2969</v>
      </c>
      <c r="B450" s="45" t="s">
        <v>573</v>
      </c>
      <c r="C450" s="40" t="s">
        <v>3334</v>
      </c>
      <c r="D450" s="53">
        <v>20169.260000000002</v>
      </c>
      <c r="E450" s="53">
        <v>114052.18999999999</v>
      </c>
      <c r="F450" s="53">
        <v>6659393.9200000055</v>
      </c>
      <c r="G450" s="578">
        <f t="shared" si="59"/>
        <v>6793615.3700000057</v>
      </c>
      <c r="H450" s="41"/>
      <c r="I450" s="41"/>
      <c r="J450" s="41"/>
      <c r="K450" s="41">
        <f t="shared" si="61"/>
        <v>20169.260000000002</v>
      </c>
      <c r="L450" s="41">
        <f t="shared" si="62"/>
        <v>114052.18999999999</v>
      </c>
      <c r="M450" s="41">
        <f t="shared" si="63"/>
        <v>6659393.9200000055</v>
      </c>
      <c r="N450" s="363">
        <f t="shared" si="60"/>
        <v>0</v>
      </c>
      <c r="O450" s="43" t="s">
        <v>3309</v>
      </c>
      <c r="P450" s="43"/>
      <c r="R450" s="41">
        <f t="shared" si="56"/>
        <v>0</v>
      </c>
      <c r="S450" s="41">
        <f t="shared" si="57"/>
        <v>0</v>
      </c>
      <c r="T450" s="41">
        <f t="shared" si="58"/>
        <v>0</v>
      </c>
      <c r="U450" s="41"/>
      <c r="V450" s="44" t="str">
        <f>IF($P450="High",$S450,IF($P450="Mix",SUMIF('High_Low Voltage Mix Summary'!$B$10:$B$17,$B310,'High_Low Voltage Mix Summary'!$D$10:$D$17),""))</f>
        <v/>
      </c>
      <c r="W450" s="44" t="str">
        <f>IF($P450="Low",$S450,IF($P450="Mix",SUMIF('High_Low Voltage Mix Summary'!$B$10:$B$17,$B310,'High_Low Voltage Mix Summary'!$E$10:$E$17),""))</f>
        <v/>
      </c>
      <c r="X450" s="44" t="str">
        <f>IF($P450="High",$T450,IF($P450="Mix",SUMIF('High_Low Voltage Mix Summary'!$B$10:$B$17,$B310,'High_Low Voltage Mix Summary'!$F$10:$F$17),""))</f>
        <v/>
      </c>
      <c r="Y450" s="44" t="str">
        <f>IF($P450="Low",$T450,IF($P450="Mix",SUMIF('High_Low Voltage Mix Summary'!$B$10:$B$17,$B310,'High_Low Voltage Mix Summary'!$G$10:$G$17),""))</f>
        <v/>
      </c>
      <c r="Z450" s="44" t="str">
        <f>IF(OR($P450="High",$P450="Low"),"",IF($P450="Mix",SUMIF('High_Low Voltage Mix Summary'!$B$10:$B$17,$B310,'High_Low Voltage Mix Summary'!$H$10:$H$17),""))</f>
        <v/>
      </c>
      <c r="AB450" s="49">
        <f>SUMIF('Antelope Bailey Split BA'!$B$7:$B$29,B450,'Antelope Bailey Split BA'!$C$7:$C$29)</f>
        <v>0</v>
      </c>
      <c r="AC450" s="49" t="str">
        <f>IF(AND(AB450=1,'Plant Total by Account'!$H$1=2),"EKWRA","")</f>
        <v/>
      </c>
    </row>
    <row r="451" spans="1:29" x14ac:dyDescent="0.2">
      <c r="A451" s="39" t="s">
        <v>2970</v>
      </c>
      <c r="B451" s="45" t="s">
        <v>574</v>
      </c>
      <c r="C451" s="40" t="s">
        <v>3334</v>
      </c>
      <c r="D451" s="53">
        <v>0</v>
      </c>
      <c r="E451" s="53">
        <v>359351.14</v>
      </c>
      <c r="F451" s="53">
        <v>1124162.8099999998</v>
      </c>
      <c r="G451" s="578">
        <f t="shared" si="59"/>
        <v>1483513.9499999997</v>
      </c>
      <c r="H451" s="41"/>
      <c r="I451" s="41"/>
      <c r="J451" s="41"/>
      <c r="K451" s="41">
        <f t="shared" si="61"/>
        <v>0</v>
      </c>
      <c r="L451" s="41">
        <f t="shared" si="62"/>
        <v>359351.14</v>
      </c>
      <c r="M451" s="41">
        <f t="shared" si="63"/>
        <v>1124162.8099999998</v>
      </c>
      <c r="N451" s="363">
        <f t="shared" si="60"/>
        <v>0</v>
      </c>
      <c r="O451" s="43" t="s">
        <v>3309</v>
      </c>
      <c r="P451" s="43"/>
      <c r="R451" s="41">
        <f t="shared" si="56"/>
        <v>0</v>
      </c>
      <c r="S451" s="41">
        <f t="shared" si="57"/>
        <v>0</v>
      </c>
      <c r="T451" s="41">
        <f t="shared" si="58"/>
        <v>0</v>
      </c>
      <c r="U451" s="41"/>
      <c r="V451" s="44" t="str">
        <f>IF($P451="High",$S451,IF($P451="Mix",SUMIF('High_Low Voltage Mix Summary'!$B$10:$B$17,$B311,'High_Low Voltage Mix Summary'!$D$10:$D$17),""))</f>
        <v/>
      </c>
      <c r="W451" s="44" t="str">
        <f>IF($P451="Low",$S451,IF($P451="Mix",SUMIF('High_Low Voltage Mix Summary'!$B$10:$B$17,$B311,'High_Low Voltage Mix Summary'!$E$10:$E$17),""))</f>
        <v/>
      </c>
      <c r="X451" s="44" t="str">
        <f>IF($P451="High",$T451,IF($P451="Mix",SUMIF('High_Low Voltage Mix Summary'!$B$10:$B$17,$B311,'High_Low Voltage Mix Summary'!$F$10:$F$17),""))</f>
        <v/>
      </c>
      <c r="Y451" s="44" t="str">
        <f>IF($P451="Low",$T451,IF($P451="Mix",SUMIF('High_Low Voltage Mix Summary'!$B$10:$B$17,$B311,'High_Low Voltage Mix Summary'!$G$10:$G$17),""))</f>
        <v/>
      </c>
      <c r="Z451" s="44" t="str">
        <f>IF(OR($P451="High",$P451="Low"),"",IF($P451="Mix",SUMIF('High_Low Voltage Mix Summary'!$B$10:$B$17,$B311,'High_Low Voltage Mix Summary'!$H$10:$H$17),""))</f>
        <v/>
      </c>
      <c r="AB451" s="49">
        <f>SUMIF('Antelope Bailey Split BA'!$B$7:$B$29,B451,'Antelope Bailey Split BA'!$C$7:$C$29)</f>
        <v>0</v>
      </c>
      <c r="AC451" s="49" t="str">
        <f>IF(AND(AB451=1,'Plant Total by Account'!$H$1=2),"EKWRA","")</f>
        <v/>
      </c>
    </row>
    <row r="452" spans="1:29" x14ac:dyDescent="0.2">
      <c r="A452" s="39" t="s">
        <v>2447</v>
      </c>
      <c r="B452" s="45" t="s">
        <v>139</v>
      </c>
      <c r="C452" s="40" t="s">
        <v>3334</v>
      </c>
      <c r="D452" s="53">
        <v>5741.3099999999995</v>
      </c>
      <c r="E452" s="53">
        <v>140892.93</v>
      </c>
      <c r="F452" s="53">
        <v>4786105.1500000013</v>
      </c>
      <c r="G452" s="578">
        <f t="shared" si="59"/>
        <v>4932739.3900000015</v>
      </c>
      <c r="H452" s="41"/>
      <c r="I452" s="41"/>
      <c r="J452" s="41"/>
      <c r="K452" s="41">
        <f t="shared" si="61"/>
        <v>5741.3099999999995</v>
      </c>
      <c r="L452" s="41">
        <f t="shared" si="62"/>
        <v>140892.93</v>
      </c>
      <c r="M452" s="41">
        <f t="shared" si="63"/>
        <v>4786105.1500000013</v>
      </c>
      <c r="N452" s="363">
        <f t="shared" si="60"/>
        <v>0</v>
      </c>
      <c r="O452" s="43" t="s">
        <v>3309</v>
      </c>
      <c r="P452" s="43"/>
      <c r="R452" s="41">
        <f t="shared" si="56"/>
        <v>0</v>
      </c>
      <c r="S452" s="41">
        <f t="shared" si="57"/>
        <v>0</v>
      </c>
      <c r="T452" s="41">
        <f t="shared" si="58"/>
        <v>0</v>
      </c>
      <c r="U452" s="41"/>
      <c r="V452" s="44" t="str">
        <f>IF($P452="High",$S452,IF($P452="Mix",SUMIF('High_Low Voltage Mix Summary'!$B$10:$B$17,$B312,'High_Low Voltage Mix Summary'!$D$10:$D$17),""))</f>
        <v/>
      </c>
      <c r="W452" s="44" t="str">
        <f>IF($P452="Low",$S452,IF($P452="Mix",SUMIF('High_Low Voltage Mix Summary'!$B$10:$B$17,$B312,'High_Low Voltage Mix Summary'!$E$10:$E$17),""))</f>
        <v/>
      </c>
      <c r="X452" s="44" t="str">
        <f>IF($P452="High",$T452,IF($P452="Mix",SUMIF('High_Low Voltage Mix Summary'!$B$10:$B$17,$B312,'High_Low Voltage Mix Summary'!$F$10:$F$17),""))</f>
        <v/>
      </c>
      <c r="Y452" s="44" t="str">
        <f>IF($P452="Low",$T452,IF($P452="Mix",SUMIF('High_Low Voltage Mix Summary'!$B$10:$B$17,$B312,'High_Low Voltage Mix Summary'!$G$10:$G$17),""))</f>
        <v/>
      </c>
      <c r="Z452" s="44" t="str">
        <f>IF(OR($P452="High",$P452="Low"),"",IF($P452="Mix",SUMIF('High_Low Voltage Mix Summary'!$B$10:$B$17,$B312,'High_Low Voltage Mix Summary'!$H$10:$H$17),""))</f>
        <v/>
      </c>
      <c r="AB452" s="49">
        <f>SUMIF('Antelope Bailey Split BA'!$B$7:$B$29,B452,'Antelope Bailey Split BA'!$C$7:$C$29)</f>
        <v>0</v>
      </c>
      <c r="AC452" s="49" t="str">
        <f>IF(AND(AB452=1,'Plant Total by Account'!$H$1=2),"EKWRA","")</f>
        <v/>
      </c>
    </row>
    <row r="453" spans="1:29" x14ac:dyDescent="0.2">
      <c r="A453" s="39" t="s">
        <v>2971</v>
      </c>
      <c r="B453" s="45" t="s">
        <v>575</v>
      </c>
      <c r="C453" s="40" t="s">
        <v>3333</v>
      </c>
      <c r="D453" s="53">
        <v>5801.63</v>
      </c>
      <c r="E453" s="53">
        <v>160319.31</v>
      </c>
      <c r="F453" s="53">
        <v>1739299.18</v>
      </c>
      <c r="G453" s="578">
        <f t="shared" si="59"/>
        <v>1905420.1199999999</v>
      </c>
      <c r="H453" s="41"/>
      <c r="I453" s="41"/>
      <c r="J453" s="41"/>
      <c r="K453" s="41">
        <f t="shared" si="61"/>
        <v>5801.63</v>
      </c>
      <c r="L453" s="41">
        <f t="shared" si="62"/>
        <v>160319.31</v>
      </c>
      <c r="M453" s="41">
        <f t="shared" si="63"/>
        <v>1739299.18</v>
      </c>
      <c r="N453" s="363">
        <f t="shared" si="60"/>
        <v>0</v>
      </c>
      <c r="O453" s="43" t="s">
        <v>3309</v>
      </c>
      <c r="P453" s="43"/>
      <c r="R453" s="41">
        <f t="shared" si="56"/>
        <v>0</v>
      </c>
      <c r="S453" s="41">
        <f t="shared" si="57"/>
        <v>0</v>
      </c>
      <c r="T453" s="41">
        <f t="shared" si="58"/>
        <v>0</v>
      </c>
      <c r="U453" s="41"/>
      <c r="V453" s="44" t="str">
        <f>IF($P453="High",$S453,IF($P453="Mix",SUMIF('High_Low Voltage Mix Summary'!$B$10:$B$17,$B9,'High_Low Voltage Mix Summary'!$D$10:$D$17),""))</f>
        <v/>
      </c>
      <c r="W453" s="44" t="str">
        <f>IF($P453="Low",$S453,IF($P453="Mix",SUMIF('High_Low Voltage Mix Summary'!$B$10:$B$17,$B9,'High_Low Voltage Mix Summary'!$E$10:$E$17),""))</f>
        <v/>
      </c>
      <c r="X453" s="44" t="str">
        <f>IF($P453="High",$T453,IF($P453="Mix",SUMIF('High_Low Voltage Mix Summary'!$B$10:$B$17,$B9,'High_Low Voltage Mix Summary'!$F$10:$F$17),""))</f>
        <v/>
      </c>
      <c r="Y453" s="44" t="str">
        <f>IF($P453="Low",$T453,IF($P453="Mix",SUMIF('High_Low Voltage Mix Summary'!$B$10:$B$17,$B9,'High_Low Voltage Mix Summary'!$G$10:$G$17),""))</f>
        <v/>
      </c>
      <c r="Z453" s="44" t="str">
        <f>IF(OR($P453="High",$P453="Low"),"",IF($P453="Mix",SUMIF('High_Low Voltage Mix Summary'!$B$10:$B$17,$B9,'High_Low Voltage Mix Summary'!$H$10:$H$17),""))</f>
        <v/>
      </c>
      <c r="AB453" s="49">
        <f>SUMIF('Antelope Bailey Split BA'!$B$7:$B$29,B453,'Antelope Bailey Split BA'!$C$7:$C$29)</f>
        <v>0</v>
      </c>
      <c r="AC453" s="49" t="str">
        <f>IF(AND(AB453=1,'Plant Total by Account'!$H$1=2),"EKWRA","")</f>
        <v/>
      </c>
    </row>
    <row r="454" spans="1:29" x14ac:dyDescent="0.2">
      <c r="A454" s="39" t="s">
        <v>2972</v>
      </c>
      <c r="B454" s="45" t="s">
        <v>576</v>
      </c>
      <c r="C454" s="40" t="s">
        <v>3334</v>
      </c>
      <c r="D454" s="53">
        <v>6634.59</v>
      </c>
      <c r="E454" s="53">
        <v>125627.61</v>
      </c>
      <c r="F454" s="53">
        <v>2933139.81</v>
      </c>
      <c r="G454" s="578">
        <f t="shared" si="59"/>
        <v>3065402.0100000002</v>
      </c>
      <c r="H454" s="41"/>
      <c r="I454" s="41"/>
      <c r="J454" s="41"/>
      <c r="K454" s="41">
        <f t="shared" si="61"/>
        <v>6634.59</v>
      </c>
      <c r="L454" s="41">
        <f t="shared" si="62"/>
        <v>125627.61</v>
      </c>
      <c r="M454" s="41">
        <f t="shared" si="63"/>
        <v>2933139.81</v>
      </c>
      <c r="N454" s="363">
        <f t="shared" si="60"/>
        <v>0</v>
      </c>
      <c r="O454" s="43" t="s">
        <v>3309</v>
      </c>
      <c r="P454" s="43"/>
      <c r="R454" s="41">
        <f t="shared" ref="R454:R517" si="64">SUM(H454:J454)</f>
        <v>0</v>
      </c>
      <c r="S454" s="41">
        <f t="shared" ref="S454:S517" si="65">H454</f>
        <v>0</v>
      </c>
      <c r="T454" s="41">
        <f t="shared" ref="T454:T517" si="66">SUM(I454:J454)</f>
        <v>0</v>
      </c>
      <c r="U454" s="41"/>
      <c r="V454" s="44" t="str">
        <f>IF($P454="High",$S454,IF($P454="Mix",SUMIF('High_Low Voltage Mix Summary'!$B$10:$B$17,$B671,'High_Low Voltage Mix Summary'!$D$10:$D$17),""))</f>
        <v/>
      </c>
      <c r="W454" s="44" t="str">
        <f>IF($P454="Low",$S454,IF($P454="Mix",SUMIF('High_Low Voltage Mix Summary'!$B$10:$B$17,$B671,'High_Low Voltage Mix Summary'!$E$10:$E$17),""))</f>
        <v/>
      </c>
      <c r="X454" s="44" t="str">
        <f>IF($P454="High",$T454,IF($P454="Mix",SUMIF('High_Low Voltage Mix Summary'!$B$10:$B$17,$B671,'High_Low Voltage Mix Summary'!$F$10:$F$17),""))</f>
        <v/>
      </c>
      <c r="Y454" s="44" t="str">
        <f>IF($P454="Low",$T454,IF($P454="Mix",SUMIF('High_Low Voltage Mix Summary'!$B$10:$B$17,$B671,'High_Low Voltage Mix Summary'!$G$10:$G$17),""))</f>
        <v/>
      </c>
      <c r="Z454" s="44" t="str">
        <f>IF(OR($P454="High",$P454="Low"),"",IF($P454="Mix",SUMIF('High_Low Voltage Mix Summary'!$B$10:$B$17,$B671,'High_Low Voltage Mix Summary'!$H$10:$H$17),""))</f>
        <v/>
      </c>
      <c r="AB454" s="49">
        <f>SUMIF('Antelope Bailey Split BA'!$B$7:$B$29,B454,'Antelope Bailey Split BA'!$C$7:$C$29)</f>
        <v>0</v>
      </c>
      <c r="AC454" s="49" t="str">
        <f>IF(AND(AB454=1,'Plant Total by Account'!$H$1=2),"EKWRA","")</f>
        <v/>
      </c>
    </row>
    <row r="455" spans="1:29" x14ac:dyDescent="0.2">
      <c r="A455" s="39" t="s">
        <v>2973</v>
      </c>
      <c r="B455" s="45" t="s">
        <v>577</v>
      </c>
      <c r="C455" s="40" t="s">
        <v>3334</v>
      </c>
      <c r="D455" s="53">
        <v>0</v>
      </c>
      <c r="E455" s="53">
        <v>0</v>
      </c>
      <c r="F455" s="53">
        <v>415140.47</v>
      </c>
      <c r="G455" s="578">
        <f t="shared" si="59"/>
        <v>415140.47</v>
      </c>
      <c r="H455" s="41"/>
      <c r="I455" s="41"/>
      <c r="J455" s="41"/>
      <c r="K455" s="41">
        <f t="shared" si="61"/>
        <v>0</v>
      </c>
      <c r="L455" s="41">
        <f t="shared" si="62"/>
        <v>0</v>
      </c>
      <c r="M455" s="41">
        <f t="shared" si="63"/>
        <v>415140.47</v>
      </c>
      <c r="N455" s="363">
        <f t="shared" si="60"/>
        <v>0</v>
      </c>
      <c r="O455" s="43" t="s">
        <v>3309</v>
      </c>
      <c r="P455" s="43"/>
      <c r="R455" s="41">
        <f t="shared" si="64"/>
        <v>0</v>
      </c>
      <c r="S455" s="41">
        <f t="shared" si="65"/>
        <v>0</v>
      </c>
      <c r="T455" s="41">
        <f t="shared" si="66"/>
        <v>0</v>
      </c>
      <c r="U455" s="41"/>
      <c r="V455" s="44" t="str">
        <f>IF($P455="High",$S455,IF($P455="Mix",SUMIF('High_Low Voltage Mix Summary'!$B$10:$B$17,$B313,'High_Low Voltage Mix Summary'!$D$10:$D$17),""))</f>
        <v/>
      </c>
      <c r="W455" s="44" t="str">
        <f>IF($P455="Low",$S455,IF($P455="Mix",SUMIF('High_Low Voltage Mix Summary'!$B$10:$B$17,$B313,'High_Low Voltage Mix Summary'!$E$10:$E$17),""))</f>
        <v/>
      </c>
      <c r="X455" s="44" t="str">
        <f>IF($P455="High",$T455,IF($P455="Mix",SUMIF('High_Low Voltage Mix Summary'!$B$10:$B$17,$B313,'High_Low Voltage Mix Summary'!$F$10:$F$17),""))</f>
        <v/>
      </c>
      <c r="Y455" s="44" t="str">
        <f>IF($P455="Low",$T455,IF($P455="Mix",SUMIF('High_Low Voltage Mix Summary'!$B$10:$B$17,$B313,'High_Low Voltage Mix Summary'!$G$10:$G$17),""))</f>
        <v/>
      </c>
      <c r="Z455" s="44" t="str">
        <f>IF(OR($P455="High",$P455="Low"),"",IF($P455="Mix",SUMIF('High_Low Voltage Mix Summary'!$B$10:$B$17,$B313,'High_Low Voltage Mix Summary'!$H$10:$H$17),""))</f>
        <v/>
      </c>
      <c r="AB455" s="49">
        <f>SUMIF('Antelope Bailey Split BA'!$B$7:$B$29,B455,'Antelope Bailey Split BA'!$C$7:$C$29)</f>
        <v>0</v>
      </c>
      <c r="AC455" s="49" t="str">
        <f>IF(AND(AB455=1,'Plant Total by Account'!$H$1=2),"EKWRA","")</f>
        <v/>
      </c>
    </row>
    <row r="456" spans="1:29" x14ac:dyDescent="0.2">
      <c r="A456" s="39" t="s">
        <v>2974</v>
      </c>
      <c r="B456" s="45" t="s">
        <v>578</v>
      </c>
      <c r="C456" s="40" t="s">
        <v>3334</v>
      </c>
      <c r="D456" s="53">
        <v>4771.8</v>
      </c>
      <c r="E456" s="53">
        <v>197180.69999999998</v>
      </c>
      <c r="F456" s="53">
        <v>5259652.2399999993</v>
      </c>
      <c r="G456" s="578">
        <f t="shared" si="59"/>
        <v>5461604.7399999993</v>
      </c>
      <c r="H456" s="41"/>
      <c r="I456" s="41"/>
      <c r="J456" s="41"/>
      <c r="K456" s="41">
        <f t="shared" si="61"/>
        <v>4771.8</v>
      </c>
      <c r="L456" s="41">
        <f t="shared" si="62"/>
        <v>197180.69999999998</v>
      </c>
      <c r="M456" s="41">
        <f t="shared" si="63"/>
        <v>5259652.2399999993</v>
      </c>
      <c r="N456" s="363">
        <f t="shared" si="60"/>
        <v>0</v>
      </c>
      <c r="O456" s="43" t="s">
        <v>3309</v>
      </c>
      <c r="P456" s="43"/>
      <c r="R456" s="41">
        <f t="shared" si="64"/>
        <v>0</v>
      </c>
      <c r="S456" s="41">
        <f t="shared" si="65"/>
        <v>0</v>
      </c>
      <c r="T456" s="41">
        <f t="shared" si="66"/>
        <v>0</v>
      </c>
      <c r="U456" s="41"/>
      <c r="V456" s="44" t="str">
        <f>IF($P456="High",$S456,IF($P456="Mix",SUMIF('High_Low Voltage Mix Summary'!$B$10:$B$17,$B314,'High_Low Voltage Mix Summary'!$D$10:$D$17),""))</f>
        <v/>
      </c>
      <c r="W456" s="44" t="str">
        <f>IF($P456="Low",$S456,IF($P456="Mix",SUMIF('High_Low Voltage Mix Summary'!$B$10:$B$17,$B314,'High_Low Voltage Mix Summary'!$E$10:$E$17),""))</f>
        <v/>
      </c>
      <c r="X456" s="44" t="str">
        <f>IF($P456="High",$T456,IF($P456="Mix",SUMIF('High_Low Voltage Mix Summary'!$B$10:$B$17,$B314,'High_Low Voltage Mix Summary'!$F$10:$F$17),""))</f>
        <v/>
      </c>
      <c r="Y456" s="44" t="str">
        <f>IF($P456="Low",$T456,IF($P456="Mix",SUMIF('High_Low Voltage Mix Summary'!$B$10:$B$17,$B314,'High_Low Voltage Mix Summary'!$G$10:$G$17),""))</f>
        <v/>
      </c>
      <c r="Z456" s="44" t="str">
        <f>IF(OR($P456="High",$P456="Low"),"",IF($P456="Mix",SUMIF('High_Low Voltage Mix Summary'!$B$10:$B$17,$B314,'High_Low Voltage Mix Summary'!$H$10:$H$17),""))</f>
        <v/>
      </c>
      <c r="AB456" s="49">
        <f>SUMIF('Antelope Bailey Split BA'!$B$7:$B$29,B456,'Antelope Bailey Split BA'!$C$7:$C$29)</f>
        <v>0</v>
      </c>
      <c r="AC456" s="49" t="str">
        <f>IF(AND(AB456=1,'Plant Total by Account'!$H$1=2),"EKWRA","")</f>
        <v/>
      </c>
    </row>
    <row r="457" spans="1:29" x14ac:dyDescent="0.2">
      <c r="A457" s="39" t="s">
        <v>2975</v>
      </c>
      <c r="B457" s="45" t="s">
        <v>579</v>
      </c>
      <c r="C457" s="40" t="s">
        <v>3334</v>
      </c>
      <c r="D457" s="53">
        <v>6287.37</v>
      </c>
      <c r="E457" s="53">
        <v>135305.82</v>
      </c>
      <c r="F457" s="53">
        <v>7385720.0200000042</v>
      </c>
      <c r="G457" s="578">
        <f t="shared" si="59"/>
        <v>7527313.2100000046</v>
      </c>
      <c r="H457" s="41"/>
      <c r="I457" s="41"/>
      <c r="J457" s="41"/>
      <c r="K457" s="41">
        <f t="shared" si="61"/>
        <v>6287.37</v>
      </c>
      <c r="L457" s="41">
        <f t="shared" si="62"/>
        <v>135305.82</v>
      </c>
      <c r="M457" s="41">
        <f t="shared" si="63"/>
        <v>7385720.0200000042</v>
      </c>
      <c r="N457" s="363">
        <f t="shared" si="60"/>
        <v>0</v>
      </c>
      <c r="O457" s="43" t="s">
        <v>3309</v>
      </c>
      <c r="P457" s="43"/>
      <c r="R457" s="41">
        <f t="shared" si="64"/>
        <v>0</v>
      </c>
      <c r="S457" s="41">
        <f t="shared" si="65"/>
        <v>0</v>
      </c>
      <c r="T457" s="41">
        <f t="shared" si="66"/>
        <v>0</v>
      </c>
      <c r="U457" s="41"/>
      <c r="V457" s="44" t="str">
        <f>IF($P457="High",$S457,IF($P457="Mix",SUMIF('High_Low Voltage Mix Summary'!$B$10:$B$17,$B315,'High_Low Voltage Mix Summary'!$D$10:$D$17),""))</f>
        <v/>
      </c>
      <c r="W457" s="44" t="str">
        <f>IF($P457="Low",$S457,IF($P457="Mix",SUMIF('High_Low Voltage Mix Summary'!$B$10:$B$17,$B315,'High_Low Voltage Mix Summary'!$E$10:$E$17),""))</f>
        <v/>
      </c>
      <c r="X457" s="44" t="str">
        <f>IF($P457="High",$T457,IF($P457="Mix",SUMIF('High_Low Voltage Mix Summary'!$B$10:$B$17,$B315,'High_Low Voltage Mix Summary'!$F$10:$F$17),""))</f>
        <v/>
      </c>
      <c r="Y457" s="44" t="str">
        <f>IF($P457="Low",$T457,IF($P457="Mix",SUMIF('High_Low Voltage Mix Summary'!$B$10:$B$17,$B315,'High_Low Voltage Mix Summary'!$G$10:$G$17),""))</f>
        <v/>
      </c>
      <c r="Z457" s="44" t="str">
        <f>IF(OR($P457="High",$P457="Low"),"",IF($P457="Mix",SUMIF('High_Low Voltage Mix Summary'!$B$10:$B$17,$B315,'High_Low Voltage Mix Summary'!$H$10:$H$17),""))</f>
        <v/>
      </c>
      <c r="AB457" s="49">
        <f>SUMIF('Antelope Bailey Split BA'!$B$7:$B$29,B457,'Antelope Bailey Split BA'!$C$7:$C$29)</f>
        <v>0</v>
      </c>
      <c r="AC457" s="49" t="str">
        <f>IF(AND(AB457=1,'Plant Total by Account'!$H$1=2),"EKWRA","")</f>
        <v/>
      </c>
    </row>
    <row r="458" spans="1:29" x14ac:dyDescent="0.2">
      <c r="A458" s="39" t="s">
        <v>2448</v>
      </c>
      <c r="B458" s="45" t="s">
        <v>580</v>
      </c>
      <c r="C458" s="40" t="s">
        <v>3333</v>
      </c>
      <c r="D458" s="53">
        <v>6560.1500000000005</v>
      </c>
      <c r="E458" s="53">
        <v>20113.72</v>
      </c>
      <c r="F458" s="53">
        <v>785429.80999999994</v>
      </c>
      <c r="G458" s="578">
        <f t="shared" ref="G458:G521" si="67">SUM(D458:F458)</f>
        <v>812103.67999999993</v>
      </c>
      <c r="H458" s="41"/>
      <c r="I458" s="41"/>
      <c r="J458" s="41"/>
      <c r="K458" s="41">
        <f t="shared" si="61"/>
        <v>6560.1500000000005</v>
      </c>
      <c r="L458" s="41">
        <f t="shared" si="62"/>
        <v>20113.72</v>
      </c>
      <c r="M458" s="41">
        <f t="shared" si="63"/>
        <v>785429.80999999994</v>
      </c>
      <c r="N458" s="363">
        <f t="shared" ref="N458:N521" si="68">G458-SUM(H458:M458)</f>
        <v>0</v>
      </c>
      <c r="O458" s="43" t="s">
        <v>3309</v>
      </c>
      <c r="P458" s="43"/>
      <c r="R458" s="41">
        <f t="shared" si="64"/>
        <v>0</v>
      </c>
      <c r="S458" s="41">
        <f t="shared" si="65"/>
        <v>0</v>
      </c>
      <c r="T458" s="41">
        <f t="shared" si="66"/>
        <v>0</v>
      </c>
      <c r="U458" s="41"/>
      <c r="V458" s="44" t="str">
        <f>IF($P458="High",$S458,IF($P458="Mix",SUMIF('High_Low Voltage Mix Summary'!$B$10:$B$17,$B316,'High_Low Voltage Mix Summary'!$D$10:$D$17),""))</f>
        <v/>
      </c>
      <c r="W458" s="44" t="str">
        <f>IF($P458="Low",$S458,IF($P458="Mix",SUMIF('High_Low Voltage Mix Summary'!$B$10:$B$17,$B316,'High_Low Voltage Mix Summary'!$E$10:$E$17),""))</f>
        <v/>
      </c>
      <c r="X458" s="44" t="str">
        <f>IF($P458="High",$T458,IF($P458="Mix",SUMIF('High_Low Voltage Mix Summary'!$B$10:$B$17,$B316,'High_Low Voltage Mix Summary'!$F$10:$F$17),""))</f>
        <v/>
      </c>
      <c r="Y458" s="44" t="str">
        <f>IF($P458="Low",$T458,IF($P458="Mix",SUMIF('High_Low Voltage Mix Summary'!$B$10:$B$17,$B316,'High_Low Voltage Mix Summary'!$G$10:$G$17),""))</f>
        <v/>
      </c>
      <c r="Z458" s="44" t="str">
        <f>IF(OR($P458="High",$P458="Low"),"",IF($P458="Mix",SUMIF('High_Low Voltage Mix Summary'!$B$10:$B$17,$B316,'High_Low Voltage Mix Summary'!$H$10:$H$17),""))</f>
        <v/>
      </c>
      <c r="AB458" s="49">
        <f>SUMIF('Antelope Bailey Split BA'!$B$7:$B$29,B458,'Antelope Bailey Split BA'!$C$7:$C$29)</f>
        <v>0</v>
      </c>
      <c r="AC458" s="49" t="str">
        <f>IF(AND(AB458=1,'Plant Total by Account'!$H$1=2),"EKWRA","")</f>
        <v/>
      </c>
    </row>
    <row r="459" spans="1:29" x14ac:dyDescent="0.2">
      <c r="A459" s="39" t="s">
        <v>2976</v>
      </c>
      <c r="B459" s="45" t="s">
        <v>581</v>
      </c>
      <c r="C459" s="40" t="s">
        <v>3334</v>
      </c>
      <c r="D459" s="53">
        <v>0</v>
      </c>
      <c r="E459" s="53">
        <v>1489.48</v>
      </c>
      <c r="F459" s="53">
        <v>551260.8600000001</v>
      </c>
      <c r="G459" s="578">
        <f t="shared" si="67"/>
        <v>552750.34000000008</v>
      </c>
      <c r="H459" s="41"/>
      <c r="I459" s="41"/>
      <c r="J459" s="41"/>
      <c r="K459" s="41">
        <f t="shared" si="61"/>
        <v>0</v>
      </c>
      <c r="L459" s="41">
        <f t="shared" si="62"/>
        <v>1489.48</v>
      </c>
      <c r="M459" s="41">
        <f t="shared" si="63"/>
        <v>551260.8600000001</v>
      </c>
      <c r="N459" s="363">
        <f t="shared" si="68"/>
        <v>0</v>
      </c>
      <c r="O459" s="43" t="s">
        <v>3309</v>
      </c>
      <c r="P459" s="43"/>
      <c r="R459" s="41">
        <f t="shared" si="64"/>
        <v>0</v>
      </c>
      <c r="S459" s="41">
        <f t="shared" si="65"/>
        <v>0</v>
      </c>
      <c r="T459" s="41">
        <f t="shared" si="66"/>
        <v>0</v>
      </c>
      <c r="U459" s="41"/>
      <c r="V459" s="44" t="str">
        <f>IF($P459="High",$S459,IF($P459="Mix",SUMIF('High_Low Voltage Mix Summary'!$B$10:$B$17,$B672,'High_Low Voltage Mix Summary'!$D$10:$D$17),""))</f>
        <v/>
      </c>
      <c r="W459" s="44" t="str">
        <f>IF($P459="Low",$S459,IF($P459="Mix",SUMIF('High_Low Voltage Mix Summary'!$B$10:$B$17,$B672,'High_Low Voltage Mix Summary'!$E$10:$E$17),""))</f>
        <v/>
      </c>
      <c r="X459" s="44" t="str">
        <f>IF($P459="High",$T459,IF($P459="Mix",SUMIF('High_Low Voltage Mix Summary'!$B$10:$B$17,$B672,'High_Low Voltage Mix Summary'!$F$10:$F$17),""))</f>
        <v/>
      </c>
      <c r="Y459" s="44" t="str">
        <f>IF($P459="Low",$T459,IF($P459="Mix",SUMIF('High_Low Voltage Mix Summary'!$B$10:$B$17,$B672,'High_Low Voltage Mix Summary'!$G$10:$G$17),""))</f>
        <v/>
      </c>
      <c r="Z459" s="44" t="str">
        <f>IF(OR($P459="High",$P459="Low"),"",IF($P459="Mix",SUMIF('High_Low Voltage Mix Summary'!$B$10:$B$17,$B672,'High_Low Voltage Mix Summary'!$H$10:$H$17),""))</f>
        <v/>
      </c>
      <c r="AB459" s="49">
        <f>SUMIF('Antelope Bailey Split BA'!$B$7:$B$29,B459,'Antelope Bailey Split BA'!$C$7:$C$29)</f>
        <v>0</v>
      </c>
      <c r="AC459" s="49" t="str">
        <f>IF(AND(AB459=1,'Plant Total by Account'!$H$1=2),"EKWRA","")</f>
        <v/>
      </c>
    </row>
    <row r="460" spans="1:29" x14ac:dyDescent="0.2">
      <c r="A460" s="39" t="s">
        <v>2977</v>
      </c>
      <c r="B460" s="45" t="s">
        <v>582</v>
      </c>
      <c r="C460" s="40" t="s">
        <v>3334</v>
      </c>
      <c r="D460" s="53">
        <v>21323.73</v>
      </c>
      <c r="E460" s="53">
        <v>55217.09</v>
      </c>
      <c r="F460" s="53">
        <v>3595456.8100000015</v>
      </c>
      <c r="G460" s="578">
        <f t="shared" si="67"/>
        <v>3671997.6300000013</v>
      </c>
      <c r="H460" s="41"/>
      <c r="I460" s="41"/>
      <c r="J460" s="41"/>
      <c r="K460" s="41">
        <f t="shared" si="61"/>
        <v>21323.73</v>
      </c>
      <c r="L460" s="41">
        <f t="shared" si="62"/>
        <v>55217.09</v>
      </c>
      <c r="M460" s="41">
        <f t="shared" si="63"/>
        <v>3595456.8100000015</v>
      </c>
      <c r="N460" s="363">
        <f t="shared" si="68"/>
        <v>0</v>
      </c>
      <c r="O460" s="43" t="s">
        <v>3309</v>
      </c>
      <c r="P460" s="43"/>
      <c r="R460" s="41">
        <f t="shared" si="64"/>
        <v>0</v>
      </c>
      <c r="S460" s="41">
        <f t="shared" si="65"/>
        <v>0</v>
      </c>
      <c r="T460" s="41">
        <f t="shared" si="66"/>
        <v>0</v>
      </c>
      <c r="U460" s="41"/>
      <c r="V460" s="44" t="str">
        <f>IF($P460="High",$S460,IF($P460="Mix",SUMIF('High_Low Voltage Mix Summary'!$B$10:$B$17,$B317,'High_Low Voltage Mix Summary'!$D$10:$D$17),""))</f>
        <v/>
      </c>
      <c r="W460" s="44" t="str">
        <f>IF($P460="Low",$S460,IF($P460="Mix",SUMIF('High_Low Voltage Mix Summary'!$B$10:$B$17,$B317,'High_Low Voltage Mix Summary'!$E$10:$E$17),""))</f>
        <v/>
      </c>
      <c r="X460" s="44" t="str">
        <f>IF($P460="High",$T460,IF($P460="Mix",SUMIF('High_Low Voltage Mix Summary'!$B$10:$B$17,$B317,'High_Low Voltage Mix Summary'!$F$10:$F$17),""))</f>
        <v/>
      </c>
      <c r="Y460" s="44" t="str">
        <f>IF($P460="Low",$T460,IF($P460="Mix",SUMIF('High_Low Voltage Mix Summary'!$B$10:$B$17,$B317,'High_Low Voltage Mix Summary'!$G$10:$G$17),""))</f>
        <v/>
      </c>
      <c r="Z460" s="44" t="str">
        <f>IF(OR($P460="High",$P460="Low"),"",IF($P460="Mix",SUMIF('High_Low Voltage Mix Summary'!$B$10:$B$17,$B317,'High_Low Voltage Mix Summary'!$H$10:$H$17),""))</f>
        <v/>
      </c>
      <c r="AB460" s="49">
        <f>SUMIF('Antelope Bailey Split BA'!$B$7:$B$29,B460,'Antelope Bailey Split BA'!$C$7:$C$29)</f>
        <v>0</v>
      </c>
      <c r="AC460" s="49" t="str">
        <f>IF(AND(AB460=1,'Plant Total by Account'!$H$1=2),"EKWRA","")</f>
        <v/>
      </c>
    </row>
    <row r="461" spans="1:29" x14ac:dyDescent="0.2">
      <c r="A461" s="39" t="s">
        <v>2978</v>
      </c>
      <c r="B461" s="45" t="s">
        <v>583</v>
      </c>
      <c r="C461" s="40" t="s">
        <v>3333</v>
      </c>
      <c r="D461" s="53">
        <v>19321.93</v>
      </c>
      <c r="E461" s="53">
        <v>34036.04</v>
      </c>
      <c r="F461" s="53">
        <v>2106142.0300000003</v>
      </c>
      <c r="G461" s="578">
        <f t="shared" si="67"/>
        <v>2159500.0000000005</v>
      </c>
      <c r="H461" s="41"/>
      <c r="I461" s="41"/>
      <c r="J461" s="41"/>
      <c r="K461" s="41">
        <f t="shared" si="61"/>
        <v>19321.93</v>
      </c>
      <c r="L461" s="41">
        <f t="shared" si="62"/>
        <v>34036.04</v>
      </c>
      <c r="M461" s="41">
        <f t="shared" si="63"/>
        <v>2106142.0300000003</v>
      </c>
      <c r="N461" s="363">
        <f t="shared" si="68"/>
        <v>0</v>
      </c>
      <c r="O461" s="43" t="s">
        <v>3309</v>
      </c>
      <c r="P461" s="43"/>
      <c r="R461" s="41">
        <f t="shared" si="64"/>
        <v>0</v>
      </c>
      <c r="S461" s="41">
        <f t="shared" si="65"/>
        <v>0</v>
      </c>
      <c r="T461" s="41">
        <f t="shared" si="66"/>
        <v>0</v>
      </c>
      <c r="U461" s="41"/>
      <c r="V461" s="44" t="str">
        <f>IF($P461="High",$S461,IF($P461="Mix",SUMIF('High_Low Voltage Mix Summary'!$B$10:$B$17,$B318,'High_Low Voltage Mix Summary'!$D$10:$D$17),""))</f>
        <v/>
      </c>
      <c r="W461" s="44" t="str">
        <f>IF($P461="Low",$S461,IF($P461="Mix",SUMIF('High_Low Voltage Mix Summary'!$B$10:$B$17,$B318,'High_Low Voltage Mix Summary'!$E$10:$E$17),""))</f>
        <v/>
      </c>
      <c r="X461" s="44" t="str">
        <f>IF($P461="High",$T461,IF($P461="Mix",SUMIF('High_Low Voltage Mix Summary'!$B$10:$B$17,$B318,'High_Low Voltage Mix Summary'!$F$10:$F$17),""))</f>
        <v/>
      </c>
      <c r="Y461" s="44" t="str">
        <f>IF($P461="Low",$T461,IF($P461="Mix",SUMIF('High_Low Voltage Mix Summary'!$B$10:$B$17,$B318,'High_Low Voltage Mix Summary'!$G$10:$G$17),""))</f>
        <v/>
      </c>
      <c r="Z461" s="44" t="str">
        <f>IF(OR($P461="High",$P461="Low"),"",IF($P461="Mix",SUMIF('High_Low Voltage Mix Summary'!$B$10:$B$17,$B318,'High_Low Voltage Mix Summary'!$H$10:$H$17),""))</f>
        <v/>
      </c>
      <c r="AB461" s="49">
        <f>SUMIF('Antelope Bailey Split BA'!$B$7:$B$29,B461,'Antelope Bailey Split BA'!$C$7:$C$29)</f>
        <v>0</v>
      </c>
      <c r="AC461" s="49" t="str">
        <f>IF(AND(AB461=1,'Plant Total by Account'!$H$1=2),"EKWRA","")</f>
        <v/>
      </c>
    </row>
    <row r="462" spans="1:29" x14ac:dyDescent="0.2">
      <c r="A462" s="39" t="s">
        <v>2979</v>
      </c>
      <c r="B462" s="45" t="s">
        <v>584</v>
      </c>
      <c r="C462" s="40" t="s">
        <v>3333</v>
      </c>
      <c r="D462" s="53">
        <v>5953.03</v>
      </c>
      <c r="E462" s="53">
        <v>23765.760000000002</v>
      </c>
      <c r="F462" s="53">
        <v>1949318.2600000002</v>
      </c>
      <c r="G462" s="578">
        <f t="shared" si="67"/>
        <v>1979037.0500000003</v>
      </c>
      <c r="H462" s="41"/>
      <c r="I462" s="41"/>
      <c r="J462" s="41"/>
      <c r="K462" s="41">
        <f t="shared" ref="K462:K525" si="69">D462</f>
        <v>5953.03</v>
      </c>
      <c r="L462" s="41">
        <f t="shared" ref="L462:L525" si="70">E462</f>
        <v>23765.760000000002</v>
      </c>
      <c r="M462" s="41">
        <f t="shared" ref="M462:M525" si="71">F462</f>
        <v>1949318.2600000002</v>
      </c>
      <c r="N462" s="363">
        <f t="shared" si="68"/>
        <v>0</v>
      </c>
      <c r="O462" s="43" t="s">
        <v>3309</v>
      </c>
      <c r="P462" s="43"/>
      <c r="R462" s="41">
        <f t="shared" si="64"/>
        <v>0</v>
      </c>
      <c r="S462" s="41">
        <f t="shared" si="65"/>
        <v>0</v>
      </c>
      <c r="T462" s="41">
        <f t="shared" si="66"/>
        <v>0</v>
      </c>
      <c r="U462" s="41"/>
      <c r="V462" s="44" t="str">
        <f>IF($P462="High",$S462,IF($P462="Mix",SUMIF('High_Low Voltage Mix Summary'!$B$10:$B$17,$B673,'High_Low Voltage Mix Summary'!$D$10:$D$17),""))</f>
        <v/>
      </c>
      <c r="W462" s="44" t="str">
        <f>IF($P462="Low",$S462,IF($P462="Mix",SUMIF('High_Low Voltage Mix Summary'!$B$10:$B$17,$B673,'High_Low Voltage Mix Summary'!$E$10:$E$17),""))</f>
        <v/>
      </c>
      <c r="X462" s="44" t="str">
        <f>IF($P462="High",$T462,IF($P462="Mix",SUMIF('High_Low Voltage Mix Summary'!$B$10:$B$17,$B673,'High_Low Voltage Mix Summary'!$F$10:$F$17),""))</f>
        <v/>
      </c>
      <c r="Y462" s="44" t="str">
        <f>IF($P462="Low",$T462,IF($P462="Mix",SUMIF('High_Low Voltage Mix Summary'!$B$10:$B$17,$B673,'High_Low Voltage Mix Summary'!$G$10:$G$17),""))</f>
        <v/>
      </c>
      <c r="Z462" s="44" t="str">
        <f>IF(OR($P462="High",$P462="Low"),"",IF($P462="Mix",SUMIF('High_Low Voltage Mix Summary'!$B$10:$B$17,$B673,'High_Low Voltage Mix Summary'!$H$10:$H$17),""))</f>
        <v/>
      </c>
      <c r="AB462" s="49">
        <f>SUMIF('Antelope Bailey Split BA'!$B$7:$B$29,B462,'Antelope Bailey Split BA'!$C$7:$C$29)</f>
        <v>0</v>
      </c>
      <c r="AC462" s="49" t="str">
        <f>IF(AND(AB462=1,'Plant Total by Account'!$H$1=2),"EKWRA","")</f>
        <v/>
      </c>
    </row>
    <row r="463" spans="1:29" x14ac:dyDescent="0.2">
      <c r="A463" s="39" t="s">
        <v>2980</v>
      </c>
      <c r="B463" s="45" t="s">
        <v>585</v>
      </c>
      <c r="C463" s="40" t="s">
        <v>3333</v>
      </c>
      <c r="D463" s="53">
        <v>2156.09</v>
      </c>
      <c r="E463" s="53">
        <v>10236.81</v>
      </c>
      <c r="F463" s="53">
        <v>400317.31000000006</v>
      </c>
      <c r="G463" s="578">
        <f t="shared" si="67"/>
        <v>412710.21000000008</v>
      </c>
      <c r="H463" s="41"/>
      <c r="I463" s="41"/>
      <c r="J463" s="41"/>
      <c r="K463" s="41">
        <f t="shared" si="69"/>
        <v>2156.09</v>
      </c>
      <c r="L463" s="41">
        <f t="shared" si="70"/>
        <v>10236.81</v>
      </c>
      <c r="M463" s="41">
        <f t="shared" si="71"/>
        <v>400317.31000000006</v>
      </c>
      <c r="N463" s="363">
        <f t="shared" si="68"/>
        <v>0</v>
      </c>
      <c r="O463" s="43" t="s">
        <v>3309</v>
      </c>
      <c r="P463" s="43"/>
      <c r="R463" s="41">
        <f t="shared" si="64"/>
        <v>0</v>
      </c>
      <c r="S463" s="41">
        <f t="shared" si="65"/>
        <v>0</v>
      </c>
      <c r="T463" s="41">
        <f t="shared" si="66"/>
        <v>0</v>
      </c>
      <c r="U463" s="41"/>
      <c r="V463" s="44" t="str">
        <f>IF($P463="High",$S463,IF($P463="Mix",SUMIF('High_Low Voltage Mix Summary'!$B$10:$B$17,$B674,'High_Low Voltage Mix Summary'!$D$10:$D$17),""))</f>
        <v/>
      </c>
      <c r="W463" s="44" t="str">
        <f>IF($P463="Low",$S463,IF($P463="Mix",SUMIF('High_Low Voltage Mix Summary'!$B$10:$B$17,$B674,'High_Low Voltage Mix Summary'!$E$10:$E$17),""))</f>
        <v/>
      </c>
      <c r="X463" s="44" t="str">
        <f>IF($P463="High",$T463,IF($P463="Mix",SUMIF('High_Low Voltage Mix Summary'!$B$10:$B$17,$B674,'High_Low Voltage Mix Summary'!$F$10:$F$17),""))</f>
        <v/>
      </c>
      <c r="Y463" s="44" t="str">
        <f>IF($P463="Low",$T463,IF($P463="Mix",SUMIF('High_Low Voltage Mix Summary'!$B$10:$B$17,$B674,'High_Low Voltage Mix Summary'!$G$10:$G$17),""))</f>
        <v/>
      </c>
      <c r="Z463" s="44" t="str">
        <f>IF(OR($P463="High",$P463="Low"),"",IF($P463="Mix",SUMIF('High_Low Voltage Mix Summary'!$B$10:$B$17,$B674,'High_Low Voltage Mix Summary'!$H$10:$H$17),""))</f>
        <v/>
      </c>
      <c r="AB463" s="49">
        <f>SUMIF('Antelope Bailey Split BA'!$B$7:$B$29,B463,'Antelope Bailey Split BA'!$C$7:$C$29)</f>
        <v>0</v>
      </c>
      <c r="AC463" s="49" t="str">
        <f>IF(AND(AB463=1,'Plant Total by Account'!$H$1=2),"EKWRA","")</f>
        <v/>
      </c>
    </row>
    <row r="464" spans="1:29" x14ac:dyDescent="0.2">
      <c r="A464" s="39" t="s">
        <v>2981</v>
      </c>
      <c r="B464" s="45" t="s">
        <v>586</v>
      </c>
      <c r="C464" s="40" t="s">
        <v>3334</v>
      </c>
      <c r="D464" s="53">
        <v>3267.75</v>
      </c>
      <c r="E464" s="53">
        <v>125478.48000000001</v>
      </c>
      <c r="F464" s="53">
        <v>7307856.6599999983</v>
      </c>
      <c r="G464" s="578">
        <f t="shared" si="67"/>
        <v>7436602.8899999987</v>
      </c>
      <c r="H464" s="41"/>
      <c r="I464" s="41"/>
      <c r="J464" s="41"/>
      <c r="K464" s="41">
        <f t="shared" si="69"/>
        <v>3267.75</v>
      </c>
      <c r="L464" s="41">
        <f t="shared" si="70"/>
        <v>125478.48000000001</v>
      </c>
      <c r="M464" s="41">
        <f t="shared" si="71"/>
        <v>7307856.6599999983</v>
      </c>
      <c r="N464" s="363">
        <f t="shared" si="68"/>
        <v>0</v>
      </c>
      <c r="O464" s="43" t="s">
        <v>3309</v>
      </c>
      <c r="P464" s="43"/>
      <c r="R464" s="41">
        <f t="shared" si="64"/>
        <v>0</v>
      </c>
      <c r="S464" s="41">
        <f t="shared" si="65"/>
        <v>0</v>
      </c>
      <c r="T464" s="41">
        <f t="shared" si="66"/>
        <v>0</v>
      </c>
      <c r="U464" s="41"/>
      <c r="V464" s="44" t="str">
        <f>IF($P464="High",$S464,IF($P464="Mix",SUMIF('High_Low Voltage Mix Summary'!$B$10:$B$17,$B675,'High_Low Voltage Mix Summary'!$D$10:$D$17),""))</f>
        <v/>
      </c>
      <c r="W464" s="44" t="str">
        <f>IF($P464="Low",$S464,IF($P464="Mix",SUMIF('High_Low Voltage Mix Summary'!$B$10:$B$17,$B675,'High_Low Voltage Mix Summary'!$E$10:$E$17),""))</f>
        <v/>
      </c>
      <c r="X464" s="44" t="str">
        <f>IF($P464="High",$T464,IF($P464="Mix",SUMIF('High_Low Voltage Mix Summary'!$B$10:$B$17,$B675,'High_Low Voltage Mix Summary'!$F$10:$F$17),""))</f>
        <v/>
      </c>
      <c r="Y464" s="44" t="str">
        <f>IF($P464="Low",$T464,IF($P464="Mix",SUMIF('High_Low Voltage Mix Summary'!$B$10:$B$17,$B675,'High_Low Voltage Mix Summary'!$G$10:$G$17),""))</f>
        <v/>
      </c>
      <c r="Z464" s="44" t="str">
        <f>IF(OR($P464="High",$P464="Low"),"",IF($P464="Mix",SUMIF('High_Low Voltage Mix Summary'!$B$10:$B$17,$B675,'High_Low Voltage Mix Summary'!$H$10:$H$17),""))</f>
        <v/>
      </c>
      <c r="AB464" s="49">
        <f>SUMIF('Antelope Bailey Split BA'!$B$7:$B$29,B464,'Antelope Bailey Split BA'!$C$7:$C$29)</f>
        <v>0</v>
      </c>
      <c r="AC464" s="49" t="str">
        <f>IF(AND(AB464=1,'Plant Total by Account'!$H$1=2),"EKWRA","")</f>
        <v/>
      </c>
    </row>
    <row r="465" spans="1:29" x14ac:dyDescent="0.2">
      <c r="A465" s="39" t="s">
        <v>2449</v>
      </c>
      <c r="B465" s="45" t="s">
        <v>587</v>
      </c>
      <c r="C465" s="40" t="s">
        <v>3334</v>
      </c>
      <c r="D465" s="53">
        <v>0</v>
      </c>
      <c r="E465" s="53">
        <v>22181.65</v>
      </c>
      <c r="F465" s="53">
        <v>992020.13</v>
      </c>
      <c r="G465" s="578">
        <f t="shared" si="67"/>
        <v>1014201.78</v>
      </c>
      <c r="H465" s="41"/>
      <c r="I465" s="41"/>
      <c r="J465" s="41"/>
      <c r="K465" s="41">
        <f t="shared" si="69"/>
        <v>0</v>
      </c>
      <c r="L465" s="41">
        <f t="shared" si="70"/>
        <v>22181.65</v>
      </c>
      <c r="M465" s="41">
        <f t="shared" si="71"/>
        <v>992020.13</v>
      </c>
      <c r="N465" s="363">
        <f t="shared" si="68"/>
        <v>0</v>
      </c>
      <c r="O465" s="43" t="s">
        <v>3309</v>
      </c>
      <c r="P465" s="43"/>
      <c r="R465" s="41">
        <f t="shared" si="64"/>
        <v>0</v>
      </c>
      <c r="S465" s="41">
        <f t="shared" si="65"/>
        <v>0</v>
      </c>
      <c r="T465" s="41">
        <f t="shared" si="66"/>
        <v>0</v>
      </c>
      <c r="U465" s="41"/>
      <c r="V465" s="44" t="str">
        <f>IF($P465="High",$S465,IF($P465="Mix",SUMIF('High_Low Voltage Mix Summary'!$B$10:$B$17,$B319,'High_Low Voltage Mix Summary'!$D$10:$D$17),""))</f>
        <v/>
      </c>
      <c r="W465" s="44" t="str">
        <f>IF($P465="Low",$S465,IF($P465="Mix",SUMIF('High_Low Voltage Mix Summary'!$B$10:$B$17,$B319,'High_Low Voltage Mix Summary'!$E$10:$E$17),""))</f>
        <v/>
      </c>
      <c r="X465" s="44" t="str">
        <f>IF($P465="High",$T465,IF($P465="Mix",SUMIF('High_Low Voltage Mix Summary'!$B$10:$B$17,$B319,'High_Low Voltage Mix Summary'!$F$10:$F$17),""))</f>
        <v/>
      </c>
      <c r="Y465" s="44" t="str">
        <f>IF($P465="Low",$T465,IF($P465="Mix",SUMIF('High_Low Voltage Mix Summary'!$B$10:$B$17,$B319,'High_Low Voltage Mix Summary'!$G$10:$G$17),""))</f>
        <v/>
      </c>
      <c r="Z465" s="44" t="str">
        <f>IF(OR($P465="High",$P465="Low"),"",IF($P465="Mix",SUMIF('High_Low Voltage Mix Summary'!$B$10:$B$17,$B319,'High_Low Voltage Mix Summary'!$H$10:$H$17),""))</f>
        <v/>
      </c>
      <c r="AB465" s="49">
        <f>SUMIF('Antelope Bailey Split BA'!$B$7:$B$29,B465,'Antelope Bailey Split BA'!$C$7:$C$29)</f>
        <v>0</v>
      </c>
      <c r="AC465" s="49" t="str">
        <f>IF(AND(AB465=1,'Plant Total by Account'!$H$1=2),"EKWRA","")</f>
        <v/>
      </c>
    </row>
    <row r="466" spans="1:29" x14ac:dyDescent="0.2">
      <c r="A466" s="39" t="s">
        <v>2982</v>
      </c>
      <c r="B466" s="45" t="s">
        <v>588</v>
      </c>
      <c r="C466" s="40" t="s">
        <v>3333</v>
      </c>
      <c r="D466" s="53">
        <v>8436.5199999999986</v>
      </c>
      <c r="E466" s="53">
        <v>75470.87</v>
      </c>
      <c r="F466" s="53">
        <v>366888.94</v>
      </c>
      <c r="G466" s="578">
        <f t="shared" si="67"/>
        <v>450796.33</v>
      </c>
      <c r="H466" s="41"/>
      <c r="I466" s="41"/>
      <c r="J466" s="41"/>
      <c r="K466" s="41">
        <f t="shared" si="69"/>
        <v>8436.5199999999986</v>
      </c>
      <c r="L466" s="41">
        <f t="shared" si="70"/>
        <v>75470.87</v>
      </c>
      <c r="M466" s="41">
        <f t="shared" si="71"/>
        <v>366888.94</v>
      </c>
      <c r="N466" s="363">
        <f t="shared" si="68"/>
        <v>0</v>
      </c>
      <c r="O466" s="43" t="s">
        <v>3309</v>
      </c>
      <c r="P466" s="43"/>
      <c r="R466" s="41">
        <f t="shared" si="64"/>
        <v>0</v>
      </c>
      <c r="S466" s="41">
        <f t="shared" si="65"/>
        <v>0</v>
      </c>
      <c r="T466" s="41">
        <f t="shared" si="66"/>
        <v>0</v>
      </c>
      <c r="U466" s="41"/>
      <c r="V466" s="44" t="str">
        <f>IF($P466="High",$S466,IF($P466="Mix",SUMIF('High_Low Voltage Mix Summary'!$B$10:$B$17,$B320,'High_Low Voltage Mix Summary'!$D$10:$D$17),""))</f>
        <v/>
      </c>
      <c r="W466" s="44" t="str">
        <f>IF($P466="Low",$S466,IF($P466="Mix",SUMIF('High_Low Voltage Mix Summary'!$B$10:$B$17,$B320,'High_Low Voltage Mix Summary'!$E$10:$E$17),""))</f>
        <v/>
      </c>
      <c r="X466" s="44" t="str">
        <f>IF($P466="High",$T466,IF($P466="Mix",SUMIF('High_Low Voltage Mix Summary'!$B$10:$B$17,$B320,'High_Low Voltage Mix Summary'!$F$10:$F$17),""))</f>
        <v/>
      </c>
      <c r="Y466" s="44" t="str">
        <f>IF($P466="Low",$T466,IF($P466="Mix",SUMIF('High_Low Voltage Mix Summary'!$B$10:$B$17,$B320,'High_Low Voltage Mix Summary'!$G$10:$G$17),""))</f>
        <v/>
      </c>
      <c r="Z466" s="44" t="str">
        <f>IF(OR($P466="High",$P466="Low"),"",IF($P466="Mix",SUMIF('High_Low Voltage Mix Summary'!$B$10:$B$17,$B320,'High_Low Voltage Mix Summary'!$H$10:$H$17),""))</f>
        <v/>
      </c>
      <c r="AB466" s="49">
        <f>SUMIF('Antelope Bailey Split BA'!$B$7:$B$29,B466,'Antelope Bailey Split BA'!$C$7:$C$29)</f>
        <v>0</v>
      </c>
      <c r="AC466" s="49" t="str">
        <f>IF(AND(AB466=1,'Plant Total by Account'!$H$1=2),"EKWRA","")</f>
        <v/>
      </c>
    </row>
    <row r="467" spans="1:29" x14ac:dyDescent="0.2">
      <c r="A467" s="39" t="s">
        <v>2983</v>
      </c>
      <c r="B467" s="45" t="s">
        <v>589</v>
      </c>
      <c r="C467" s="40" t="s">
        <v>3334</v>
      </c>
      <c r="D467" s="53">
        <v>6864.86</v>
      </c>
      <c r="E467" s="53">
        <v>83468.53</v>
      </c>
      <c r="F467" s="53">
        <v>2996414.3699999987</v>
      </c>
      <c r="G467" s="578">
        <f t="shared" si="67"/>
        <v>3086747.7599999988</v>
      </c>
      <c r="H467" s="41"/>
      <c r="I467" s="41"/>
      <c r="J467" s="41"/>
      <c r="K467" s="41">
        <f t="shared" si="69"/>
        <v>6864.86</v>
      </c>
      <c r="L467" s="41">
        <f t="shared" si="70"/>
        <v>83468.53</v>
      </c>
      <c r="M467" s="41">
        <f t="shared" si="71"/>
        <v>2996414.3699999987</v>
      </c>
      <c r="N467" s="363">
        <f t="shared" si="68"/>
        <v>0</v>
      </c>
      <c r="O467" s="43" t="s">
        <v>3309</v>
      </c>
      <c r="P467" s="43"/>
      <c r="R467" s="41">
        <f t="shared" si="64"/>
        <v>0</v>
      </c>
      <c r="S467" s="41">
        <f t="shared" si="65"/>
        <v>0</v>
      </c>
      <c r="T467" s="41">
        <f t="shared" si="66"/>
        <v>0</v>
      </c>
      <c r="U467" s="41"/>
      <c r="V467" s="44" t="str">
        <f>IF($P467="High",$S467,IF($P467="Mix",SUMIF('High_Low Voltage Mix Summary'!$B$10:$B$17,$B676,'High_Low Voltage Mix Summary'!$D$10:$D$17),""))</f>
        <v/>
      </c>
      <c r="W467" s="44" t="str">
        <f>IF($P467="Low",$S467,IF($P467="Mix",SUMIF('High_Low Voltage Mix Summary'!$B$10:$B$17,$B676,'High_Low Voltage Mix Summary'!$E$10:$E$17),""))</f>
        <v/>
      </c>
      <c r="X467" s="44" t="str">
        <f>IF($P467="High",$T467,IF($P467="Mix",SUMIF('High_Low Voltage Mix Summary'!$B$10:$B$17,$B676,'High_Low Voltage Mix Summary'!$F$10:$F$17),""))</f>
        <v/>
      </c>
      <c r="Y467" s="44" t="str">
        <f>IF($P467="Low",$T467,IF($P467="Mix",SUMIF('High_Low Voltage Mix Summary'!$B$10:$B$17,$B676,'High_Low Voltage Mix Summary'!$G$10:$G$17),""))</f>
        <v/>
      </c>
      <c r="Z467" s="44" t="str">
        <f>IF(OR($P467="High",$P467="Low"),"",IF($P467="Mix",SUMIF('High_Low Voltage Mix Summary'!$B$10:$B$17,$B676,'High_Low Voltage Mix Summary'!$H$10:$H$17),""))</f>
        <v/>
      </c>
      <c r="AB467" s="49">
        <f>SUMIF('Antelope Bailey Split BA'!$B$7:$B$29,B467,'Antelope Bailey Split BA'!$C$7:$C$29)</f>
        <v>0</v>
      </c>
      <c r="AC467" s="49" t="str">
        <f>IF(AND(AB467=1,'Plant Total by Account'!$H$1=2),"EKWRA","")</f>
        <v/>
      </c>
    </row>
    <row r="468" spans="1:29" x14ac:dyDescent="0.2">
      <c r="A468" s="39" t="s">
        <v>2984</v>
      </c>
      <c r="B468" s="45" t="s">
        <v>590</v>
      </c>
      <c r="C468" s="40" t="s">
        <v>3334</v>
      </c>
      <c r="D468" s="53">
        <v>0</v>
      </c>
      <c r="E468" s="53">
        <v>2897.28</v>
      </c>
      <c r="F468" s="53">
        <v>371262.57</v>
      </c>
      <c r="G468" s="578">
        <f t="shared" si="67"/>
        <v>374159.85000000003</v>
      </c>
      <c r="H468" s="41"/>
      <c r="I468" s="41"/>
      <c r="J468" s="41"/>
      <c r="K468" s="41">
        <f t="shared" si="69"/>
        <v>0</v>
      </c>
      <c r="L468" s="41">
        <f t="shared" si="70"/>
        <v>2897.28</v>
      </c>
      <c r="M468" s="41">
        <f t="shared" si="71"/>
        <v>371262.57</v>
      </c>
      <c r="N468" s="363">
        <f t="shared" si="68"/>
        <v>0</v>
      </c>
      <c r="O468" s="43" t="s">
        <v>3309</v>
      </c>
      <c r="P468" s="43"/>
      <c r="R468" s="41">
        <f t="shared" si="64"/>
        <v>0</v>
      </c>
      <c r="S468" s="41">
        <f t="shared" si="65"/>
        <v>0</v>
      </c>
      <c r="T468" s="41">
        <f t="shared" si="66"/>
        <v>0</v>
      </c>
      <c r="U468" s="41"/>
      <c r="V468" s="44" t="str">
        <f>IF($P468="High",$S468,IF($P468="Mix",SUMIF('High_Low Voltage Mix Summary'!$B$10:$B$17,$B321,'High_Low Voltage Mix Summary'!$D$10:$D$17),""))</f>
        <v/>
      </c>
      <c r="W468" s="44" t="str">
        <f>IF($P468="Low",$S468,IF($P468="Mix",SUMIF('High_Low Voltage Mix Summary'!$B$10:$B$17,$B321,'High_Low Voltage Mix Summary'!$E$10:$E$17),""))</f>
        <v/>
      </c>
      <c r="X468" s="44" t="str">
        <f>IF($P468="High",$T468,IF($P468="Mix",SUMIF('High_Low Voltage Mix Summary'!$B$10:$B$17,$B321,'High_Low Voltage Mix Summary'!$F$10:$F$17),""))</f>
        <v/>
      </c>
      <c r="Y468" s="44" t="str">
        <f>IF($P468="Low",$T468,IF($P468="Mix",SUMIF('High_Low Voltage Mix Summary'!$B$10:$B$17,$B321,'High_Low Voltage Mix Summary'!$G$10:$G$17),""))</f>
        <v/>
      </c>
      <c r="Z468" s="44" t="str">
        <f>IF(OR($P468="High",$P468="Low"),"",IF($P468="Mix",SUMIF('High_Low Voltage Mix Summary'!$B$10:$B$17,$B321,'High_Low Voltage Mix Summary'!$H$10:$H$17),""))</f>
        <v/>
      </c>
      <c r="AB468" s="49">
        <f>SUMIF('Antelope Bailey Split BA'!$B$7:$B$29,B468,'Antelope Bailey Split BA'!$C$7:$C$29)</f>
        <v>0</v>
      </c>
      <c r="AC468" s="49" t="str">
        <f>IF(AND(AB468=1,'Plant Total by Account'!$H$1=2),"EKWRA","")</f>
        <v/>
      </c>
    </row>
    <row r="469" spans="1:29" x14ac:dyDescent="0.2">
      <c r="A469" s="39" t="s">
        <v>2450</v>
      </c>
      <c r="B469" s="45" t="s">
        <v>591</v>
      </c>
      <c r="C469" s="40" t="s">
        <v>3334</v>
      </c>
      <c r="D469" s="53">
        <v>11898.41</v>
      </c>
      <c r="E469" s="53">
        <v>14597.15</v>
      </c>
      <c r="F469" s="53">
        <v>1278684.1399999999</v>
      </c>
      <c r="G469" s="578">
        <f t="shared" si="67"/>
        <v>1305179.7</v>
      </c>
      <c r="H469" s="41"/>
      <c r="I469" s="41"/>
      <c r="J469" s="41"/>
      <c r="K469" s="41">
        <f t="shared" si="69"/>
        <v>11898.41</v>
      </c>
      <c r="L469" s="41">
        <f t="shared" si="70"/>
        <v>14597.15</v>
      </c>
      <c r="M469" s="41">
        <f t="shared" si="71"/>
        <v>1278684.1399999999</v>
      </c>
      <c r="N469" s="363">
        <f t="shared" si="68"/>
        <v>0</v>
      </c>
      <c r="O469" s="43" t="s">
        <v>3309</v>
      </c>
      <c r="P469" s="43"/>
      <c r="R469" s="41">
        <f t="shared" si="64"/>
        <v>0</v>
      </c>
      <c r="S469" s="41">
        <f t="shared" si="65"/>
        <v>0</v>
      </c>
      <c r="T469" s="41">
        <f t="shared" si="66"/>
        <v>0</v>
      </c>
      <c r="U469" s="41"/>
      <c r="V469" s="44" t="str">
        <f>IF($P469="High",$S469,IF($P469="Mix",SUMIF('High_Low Voltage Mix Summary'!$B$10:$B$17,$B322,'High_Low Voltage Mix Summary'!$D$10:$D$17),""))</f>
        <v/>
      </c>
      <c r="W469" s="44" t="str">
        <f>IF($P469="Low",$S469,IF($P469="Mix",SUMIF('High_Low Voltage Mix Summary'!$B$10:$B$17,$B322,'High_Low Voltage Mix Summary'!$E$10:$E$17),""))</f>
        <v/>
      </c>
      <c r="X469" s="44" t="str">
        <f>IF($P469="High",$T469,IF($P469="Mix",SUMIF('High_Low Voltage Mix Summary'!$B$10:$B$17,$B322,'High_Low Voltage Mix Summary'!$F$10:$F$17),""))</f>
        <v/>
      </c>
      <c r="Y469" s="44" t="str">
        <f>IF($P469="Low",$T469,IF($P469="Mix",SUMIF('High_Low Voltage Mix Summary'!$B$10:$B$17,$B322,'High_Low Voltage Mix Summary'!$G$10:$G$17),""))</f>
        <v/>
      </c>
      <c r="Z469" s="44" t="str">
        <f>IF(OR($P469="High",$P469="Low"),"",IF($P469="Mix",SUMIF('High_Low Voltage Mix Summary'!$B$10:$B$17,$B322,'High_Low Voltage Mix Summary'!$H$10:$H$17),""))</f>
        <v/>
      </c>
      <c r="AB469" s="49">
        <f>SUMIF('Antelope Bailey Split BA'!$B$7:$B$29,B469,'Antelope Bailey Split BA'!$C$7:$C$29)</f>
        <v>0</v>
      </c>
      <c r="AC469" s="49" t="str">
        <f>IF(AND(AB469=1,'Plant Total by Account'!$H$1=2),"EKWRA","")</f>
        <v/>
      </c>
    </row>
    <row r="470" spans="1:29" x14ac:dyDescent="0.2">
      <c r="A470" s="39" t="s">
        <v>2985</v>
      </c>
      <c r="B470" s="45" t="s">
        <v>592</v>
      </c>
      <c r="C470" s="40" t="s">
        <v>3333</v>
      </c>
      <c r="D470" s="53">
        <v>1590.32</v>
      </c>
      <c r="E470" s="53">
        <v>99695.010000000009</v>
      </c>
      <c r="F470" s="53">
        <v>1134974.1399999999</v>
      </c>
      <c r="G470" s="578">
        <f t="shared" si="67"/>
        <v>1236259.47</v>
      </c>
      <c r="H470" s="41"/>
      <c r="I470" s="41"/>
      <c r="J470" s="41"/>
      <c r="K470" s="41">
        <f t="shared" si="69"/>
        <v>1590.32</v>
      </c>
      <c r="L470" s="41">
        <f t="shared" si="70"/>
        <v>99695.010000000009</v>
      </c>
      <c r="M470" s="41">
        <f t="shared" si="71"/>
        <v>1134974.1399999999</v>
      </c>
      <c r="N470" s="363">
        <f t="shared" si="68"/>
        <v>0</v>
      </c>
      <c r="O470" s="43" t="s">
        <v>3309</v>
      </c>
      <c r="P470" s="43"/>
      <c r="R470" s="41">
        <f t="shared" si="64"/>
        <v>0</v>
      </c>
      <c r="S470" s="41">
        <f t="shared" si="65"/>
        <v>0</v>
      </c>
      <c r="T470" s="41">
        <f t="shared" si="66"/>
        <v>0</v>
      </c>
      <c r="U470" s="41"/>
      <c r="V470" s="44" t="str">
        <f>IF($P470="High",$S470,IF($P470="Mix",SUMIF('High_Low Voltage Mix Summary'!$B$10:$B$17,$B323,'High_Low Voltage Mix Summary'!$D$10:$D$17),""))</f>
        <v/>
      </c>
      <c r="W470" s="44" t="str">
        <f>IF($P470="Low",$S470,IF($P470="Mix",SUMIF('High_Low Voltage Mix Summary'!$B$10:$B$17,$B323,'High_Low Voltage Mix Summary'!$E$10:$E$17),""))</f>
        <v/>
      </c>
      <c r="X470" s="44" t="str">
        <f>IF($P470="High",$T470,IF($P470="Mix",SUMIF('High_Low Voltage Mix Summary'!$B$10:$B$17,$B323,'High_Low Voltage Mix Summary'!$F$10:$F$17),""))</f>
        <v/>
      </c>
      <c r="Y470" s="44" t="str">
        <f>IF($P470="Low",$T470,IF($P470="Mix",SUMIF('High_Low Voltage Mix Summary'!$B$10:$B$17,$B323,'High_Low Voltage Mix Summary'!$G$10:$G$17),""))</f>
        <v/>
      </c>
      <c r="Z470" s="44" t="str">
        <f>IF(OR($P470="High",$P470="Low"),"",IF($P470="Mix",SUMIF('High_Low Voltage Mix Summary'!$B$10:$B$17,$B323,'High_Low Voltage Mix Summary'!$H$10:$H$17),""))</f>
        <v/>
      </c>
      <c r="AB470" s="49">
        <f>SUMIF('Antelope Bailey Split BA'!$B$7:$B$29,B470,'Antelope Bailey Split BA'!$C$7:$C$29)</f>
        <v>0</v>
      </c>
      <c r="AC470" s="49" t="str">
        <f>IF(AND(AB470=1,'Plant Total by Account'!$H$1=2),"EKWRA","")</f>
        <v/>
      </c>
    </row>
    <row r="471" spans="1:29" x14ac:dyDescent="0.2">
      <c r="A471" s="39" t="s">
        <v>2986</v>
      </c>
      <c r="B471" s="45" t="s">
        <v>593</v>
      </c>
      <c r="C471" s="40" t="s">
        <v>3334</v>
      </c>
      <c r="D471" s="53">
        <v>2631.06</v>
      </c>
      <c r="E471" s="53">
        <v>258128.99000000002</v>
      </c>
      <c r="F471" s="53">
        <v>3865612.2500000005</v>
      </c>
      <c r="G471" s="578">
        <f t="shared" si="67"/>
        <v>4126372.3000000003</v>
      </c>
      <c r="H471" s="41"/>
      <c r="I471" s="41"/>
      <c r="J471" s="41"/>
      <c r="K471" s="41">
        <f t="shared" si="69"/>
        <v>2631.06</v>
      </c>
      <c r="L471" s="41">
        <f t="shared" si="70"/>
        <v>258128.99000000002</v>
      </c>
      <c r="M471" s="41">
        <f t="shared" si="71"/>
        <v>3865612.2500000005</v>
      </c>
      <c r="N471" s="363">
        <f t="shared" si="68"/>
        <v>0</v>
      </c>
      <c r="O471" s="43" t="s">
        <v>3309</v>
      </c>
      <c r="P471" s="43"/>
      <c r="R471" s="41">
        <f t="shared" si="64"/>
        <v>0</v>
      </c>
      <c r="S471" s="41">
        <f t="shared" si="65"/>
        <v>0</v>
      </c>
      <c r="T471" s="41">
        <f t="shared" si="66"/>
        <v>0</v>
      </c>
      <c r="U471" s="41"/>
      <c r="V471" s="44" t="str">
        <f>IF($P471="High",$S471,IF($P471="Mix",SUMIF('High_Low Voltage Mix Summary'!$B$10:$B$17,#REF!,'High_Low Voltage Mix Summary'!$D$10:$D$17),""))</f>
        <v/>
      </c>
      <c r="W471" s="44" t="str">
        <f>IF($P471="Low",$S471,IF($P471="Mix",SUMIF('High_Low Voltage Mix Summary'!$B$10:$B$17,#REF!,'High_Low Voltage Mix Summary'!$E$10:$E$17),""))</f>
        <v/>
      </c>
      <c r="X471" s="44" t="str">
        <f>IF($P471="High",$T471,IF($P471="Mix",SUMIF('High_Low Voltage Mix Summary'!$B$10:$B$17,#REF!,'High_Low Voltage Mix Summary'!$F$10:$F$17),""))</f>
        <v/>
      </c>
      <c r="Y471" s="44" t="str">
        <f>IF($P471="Low",$T471,IF($P471="Mix",SUMIF('High_Low Voltage Mix Summary'!$B$10:$B$17,#REF!,'High_Low Voltage Mix Summary'!$G$10:$G$17),""))</f>
        <v/>
      </c>
      <c r="Z471" s="44" t="str">
        <f>IF(OR($P471="High",$P471="Low"),"",IF($P471="Mix",SUMIF('High_Low Voltage Mix Summary'!$B$10:$B$17,#REF!,'High_Low Voltage Mix Summary'!$H$10:$H$17),""))</f>
        <v/>
      </c>
      <c r="AB471" s="49">
        <f>SUMIF('Antelope Bailey Split BA'!$B$7:$B$29,B471,'Antelope Bailey Split BA'!$C$7:$C$29)</f>
        <v>0</v>
      </c>
      <c r="AC471" s="49" t="str">
        <f>IF(AND(AB471=1,'Plant Total by Account'!$H$1=2),"EKWRA","")</f>
        <v/>
      </c>
    </row>
    <row r="472" spans="1:29" x14ac:dyDescent="0.2">
      <c r="A472" s="39" t="s">
        <v>2987</v>
      </c>
      <c r="B472" s="45" t="s">
        <v>594</v>
      </c>
      <c r="C472" s="40" t="s">
        <v>3334</v>
      </c>
      <c r="D472" s="53">
        <v>23175.64</v>
      </c>
      <c r="E472" s="53">
        <v>87296.540000000008</v>
      </c>
      <c r="F472" s="53">
        <v>2947206.4699999983</v>
      </c>
      <c r="G472" s="578">
        <f t="shared" si="67"/>
        <v>3057678.6499999985</v>
      </c>
      <c r="H472" s="41"/>
      <c r="I472" s="41"/>
      <c r="J472" s="41"/>
      <c r="K472" s="41">
        <f t="shared" si="69"/>
        <v>23175.64</v>
      </c>
      <c r="L472" s="41">
        <f t="shared" si="70"/>
        <v>87296.540000000008</v>
      </c>
      <c r="M472" s="41">
        <f t="shared" si="71"/>
        <v>2947206.4699999983</v>
      </c>
      <c r="N472" s="363">
        <f t="shared" si="68"/>
        <v>0</v>
      </c>
      <c r="O472" s="43" t="s">
        <v>3309</v>
      </c>
      <c r="P472" s="43"/>
      <c r="R472" s="41">
        <f t="shared" si="64"/>
        <v>0</v>
      </c>
      <c r="S472" s="41">
        <f t="shared" si="65"/>
        <v>0</v>
      </c>
      <c r="T472" s="41">
        <f t="shared" si="66"/>
        <v>0</v>
      </c>
      <c r="U472" s="41"/>
      <c r="V472" s="44" t="str">
        <f>IF($P472="High",$S472,IF($P472="Mix",SUMIF('High_Low Voltage Mix Summary'!$B$10:$B$17,$B324,'High_Low Voltage Mix Summary'!$D$10:$D$17),""))</f>
        <v/>
      </c>
      <c r="W472" s="44" t="str">
        <f>IF($P472="Low",$S472,IF($P472="Mix",SUMIF('High_Low Voltage Mix Summary'!$B$10:$B$17,$B324,'High_Low Voltage Mix Summary'!$E$10:$E$17),""))</f>
        <v/>
      </c>
      <c r="X472" s="44" t="str">
        <f>IF($P472="High",$T472,IF($P472="Mix",SUMIF('High_Low Voltage Mix Summary'!$B$10:$B$17,$B324,'High_Low Voltage Mix Summary'!$F$10:$F$17),""))</f>
        <v/>
      </c>
      <c r="Y472" s="44" t="str">
        <f>IF($P472="Low",$T472,IF($P472="Mix",SUMIF('High_Low Voltage Mix Summary'!$B$10:$B$17,$B324,'High_Low Voltage Mix Summary'!$G$10:$G$17),""))</f>
        <v/>
      </c>
      <c r="Z472" s="44" t="str">
        <f>IF(OR($P472="High",$P472="Low"),"",IF($P472="Mix",SUMIF('High_Low Voltage Mix Summary'!$B$10:$B$17,$B324,'High_Low Voltage Mix Summary'!$H$10:$H$17),""))</f>
        <v/>
      </c>
      <c r="AB472" s="49">
        <f>SUMIF('Antelope Bailey Split BA'!$B$7:$B$29,B472,'Antelope Bailey Split BA'!$C$7:$C$29)</f>
        <v>0</v>
      </c>
      <c r="AC472" s="49" t="str">
        <f>IF(AND(AB472=1,'Plant Total by Account'!$H$1=2),"EKWRA","")</f>
        <v/>
      </c>
    </row>
    <row r="473" spans="1:29" x14ac:dyDescent="0.2">
      <c r="A473" s="39" t="s">
        <v>2988</v>
      </c>
      <c r="B473" s="40" t="s">
        <v>595</v>
      </c>
      <c r="C473" s="40" t="s">
        <v>3334</v>
      </c>
      <c r="D473" s="53">
        <v>28695.45</v>
      </c>
      <c r="E473" s="53">
        <v>395324.3</v>
      </c>
      <c r="F473" s="53">
        <v>3856838.4900000012</v>
      </c>
      <c r="G473" s="578">
        <f t="shared" si="67"/>
        <v>4280858.2400000012</v>
      </c>
      <c r="H473" s="41"/>
      <c r="I473" s="41"/>
      <c r="J473" s="41"/>
      <c r="K473" s="41">
        <f t="shared" si="69"/>
        <v>28695.45</v>
      </c>
      <c r="L473" s="41">
        <f t="shared" si="70"/>
        <v>395324.3</v>
      </c>
      <c r="M473" s="41">
        <f t="shared" si="71"/>
        <v>3856838.4900000012</v>
      </c>
      <c r="N473" s="363">
        <f t="shared" si="68"/>
        <v>0</v>
      </c>
      <c r="O473" s="43" t="s">
        <v>3309</v>
      </c>
      <c r="P473" s="43"/>
      <c r="R473" s="41">
        <f t="shared" si="64"/>
        <v>0</v>
      </c>
      <c r="S473" s="41">
        <f t="shared" si="65"/>
        <v>0</v>
      </c>
      <c r="T473" s="41">
        <f t="shared" si="66"/>
        <v>0</v>
      </c>
      <c r="U473" s="41"/>
      <c r="V473" s="44" t="str">
        <f>IF($P473="High",$S473,IF($P473="Mix",SUMIF('High_Low Voltage Mix Summary'!$B$10:$B$17,$B325,'High_Low Voltage Mix Summary'!$D$10:$D$17),""))</f>
        <v/>
      </c>
      <c r="W473" s="44" t="str">
        <f>IF($P473="Low",$S473,IF($P473="Mix",SUMIF('High_Low Voltage Mix Summary'!$B$10:$B$17,$B325,'High_Low Voltage Mix Summary'!$E$10:$E$17),""))</f>
        <v/>
      </c>
      <c r="X473" s="44" t="str">
        <f>IF($P473="High",$T473,IF($P473="Mix",SUMIF('High_Low Voltage Mix Summary'!$B$10:$B$17,$B325,'High_Low Voltage Mix Summary'!$F$10:$F$17),""))</f>
        <v/>
      </c>
      <c r="Y473" s="44" t="str">
        <f>IF($P473="Low",$T473,IF($P473="Mix",SUMIF('High_Low Voltage Mix Summary'!$B$10:$B$17,$B325,'High_Low Voltage Mix Summary'!$G$10:$G$17),""))</f>
        <v/>
      </c>
      <c r="Z473" s="44" t="str">
        <f>IF(OR($P473="High",$P473="Low"),"",IF($P473="Mix",SUMIF('High_Low Voltage Mix Summary'!$B$10:$B$17,$B325,'High_Low Voltage Mix Summary'!$H$10:$H$17),""))</f>
        <v/>
      </c>
      <c r="AB473" s="49">
        <f>SUMIF('Antelope Bailey Split BA'!$B$7:$B$29,B473,'Antelope Bailey Split BA'!$C$7:$C$29)</f>
        <v>0</v>
      </c>
      <c r="AC473" s="49" t="str">
        <f>IF(AND(AB473=1,'Plant Total by Account'!$H$1=2),"EKWRA","")</f>
        <v/>
      </c>
    </row>
    <row r="474" spans="1:29" x14ac:dyDescent="0.2">
      <c r="A474" s="39" t="s">
        <v>2989</v>
      </c>
      <c r="B474" s="45" t="s">
        <v>596</v>
      </c>
      <c r="C474" s="40" t="s">
        <v>3334</v>
      </c>
      <c r="D474" s="53">
        <v>882.21</v>
      </c>
      <c r="E474" s="53">
        <v>0</v>
      </c>
      <c r="F474" s="53">
        <v>0</v>
      </c>
      <c r="G474" s="578">
        <f t="shared" si="67"/>
        <v>882.21</v>
      </c>
      <c r="H474" s="41"/>
      <c r="I474" s="41"/>
      <c r="J474" s="41"/>
      <c r="K474" s="41">
        <f t="shared" si="69"/>
        <v>882.21</v>
      </c>
      <c r="L474" s="41">
        <f t="shared" si="70"/>
        <v>0</v>
      </c>
      <c r="M474" s="41">
        <f t="shared" si="71"/>
        <v>0</v>
      </c>
      <c r="N474" s="363">
        <f t="shared" si="68"/>
        <v>0</v>
      </c>
      <c r="O474" s="43" t="s">
        <v>3309</v>
      </c>
      <c r="P474" s="43"/>
      <c r="R474" s="41">
        <f t="shared" si="64"/>
        <v>0</v>
      </c>
      <c r="S474" s="41">
        <f t="shared" si="65"/>
        <v>0</v>
      </c>
      <c r="T474" s="41">
        <f t="shared" si="66"/>
        <v>0</v>
      </c>
      <c r="U474" s="41"/>
      <c r="V474" s="44" t="str">
        <f>IF($P474="High",$S474,IF($P474="Mix",SUMIF('High_Low Voltage Mix Summary'!$B$10:$B$17,$B326,'High_Low Voltage Mix Summary'!$D$10:$D$17),""))</f>
        <v/>
      </c>
      <c r="W474" s="44" t="str">
        <f>IF($P474="Low",$S474,IF($P474="Mix",SUMIF('High_Low Voltage Mix Summary'!$B$10:$B$17,$B326,'High_Low Voltage Mix Summary'!$E$10:$E$17),""))</f>
        <v/>
      </c>
      <c r="X474" s="44" t="str">
        <f>IF($P474="High",$T474,IF($P474="Mix",SUMIF('High_Low Voltage Mix Summary'!$B$10:$B$17,$B326,'High_Low Voltage Mix Summary'!$F$10:$F$17),""))</f>
        <v/>
      </c>
      <c r="Y474" s="44" t="str">
        <f>IF($P474="Low",$T474,IF($P474="Mix",SUMIF('High_Low Voltage Mix Summary'!$B$10:$B$17,$B326,'High_Low Voltage Mix Summary'!$G$10:$G$17),""))</f>
        <v/>
      </c>
      <c r="Z474" s="44" t="str">
        <f>IF(OR($P474="High",$P474="Low"),"",IF($P474="Mix",SUMIF('High_Low Voltage Mix Summary'!$B$10:$B$17,$B326,'High_Low Voltage Mix Summary'!$H$10:$H$17),""))</f>
        <v/>
      </c>
      <c r="AB474" s="49">
        <f>SUMIF('Antelope Bailey Split BA'!$B$7:$B$29,B474,'Antelope Bailey Split BA'!$C$7:$C$29)</f>
        <v>0</v>
      </c>
      <c r="AC474" s="49" t="str">
        <f>IF(AND(AB474=1,'Plant Total by Account'!$H$1=2),"EKWRA","")</f>
        <v/>
      </c>
    </row>
    <row r="475" spans="1:29" x14ac:dyDescent="0.2">
      <c r="A475" s="39" t="s">
        <v>2990</v>
      </c>
      <c r="B475" s="45" t="s">
        <v>597</v>
      </c>
      <c r="C475" s="40" t="s">
        <v>3334</v>
      </c>
      <c r="D475" s="53">
        <v>410.43</v>
      </c>
      <c r="E475" s="53">
        <v>16221.01</v>
      </c>
      <c r="F475" s="53">
        <v>1055579.51</v>
      </c>
      <c r="G475" s="578">
        <f t="shared" si="67"/>
        <v>1072210.95</v>
      </c>
      <c r="H475" s="41"/>
      <c r="I475" s="41"/>
      <c r="J475" s="41"/>
      <c r="K475" s="41">
        <f t="shared" si="69"/>
        <v>410.43</v>
      </c>
      <c r="L475" s="41">
        <f t="shared" si="70"/>
        <v>16221.01</v>
      </c>
      <c r="M475" s="41">
        <f t="shared" si="71"/>
        <v>1055579.51</v>
      </c>
      <c r="N475" s="363">
        <f t="shared" si="68"/>
        <v>0</v>
      </c>
      <c r="O475" s="43" t="s">
        <v>3309</v>
      </c>
      <c r="P475" s="43"/>
      <c r="R475" s="41">
        <f t="shared" si="64"/>
        <v>0</v>
      </c>
      <c r="S475" s="41">
        <f t="shared" si="65"/>
        <v>0</v>
      </c>
      <c r="T475" s="41">
        <f t="shared" si="66"/>
        <v>0</v>
      </c>
      <c r="U475" s="41"/>
      <c r="V475" s="44" t="str">
        <f>IF($P475="High",$S475,IF($P475="Mix",SUMIF('High_Low Voltage Mix Summary'!$B$10:$B$17,$B327,'High_Low Voltage Mix Summary'!$D$10:$D$17),""))</f>
        <v/>
      </c>
      <c r="W475" s="44" t="str">
        <f>IF($P475="Low",$S475,IF($P475="Mix",SUMIF('High_Low Voltage Mix Summary'!$B$10:$B$17,$B327,'High_Low Voltage Mix Summary'!$E$10:$E$17),""))</f>
        <v/>
      </c>
      <c r="X475" s="44" t="str">
        <f>IF($P475="High",$T475,IF($P475="Mix",SUMIF('High_Low Voltage Mix Summary'!$B$10:$B$17,$B327,'High_Low Voltage Mix Summary'!$F$10:$F$17),""))</f>
        <v/>
      </c>
      <c r="Y475" s="44" t="str">
        <f>IF($P475="Low",$T475,IF($P475="Mix",SUMIF('High_Low Voltage Mix Summary'!$B$10:$B$17,$B327,'High_Low Voltage Mix Summary'!$G$10:$G$17),""))</f>
        <v/>
      </c>
      <c r="Z475" s="44" t="str">
        <f>IF(OR($P475="High",$P475="Low"),"",IF($P475="Mix",SUMIF('High_Low Voltage Mix Summary'!$B$10:$B$17,$B327,'High_Low Voltage Mix Summary'!$H$10:$H$17),""))</f>
        <v/>
      </c>
      <c r="AB475" s="49">
        <f>SUMIF('Antelope Bailey Split BA'!$B$7:$B$29,B475,'Antelope Bailey Split BA'!$C$7:$C$29)</f>
        <v>0</v>
      </c>
      <c r="AC475" s="49" t="str">
        <f>IF(AND(AB475=1,'Plant Total by Account'!$H$1=2),"EKWRA","")</f>
        <v/>
      </c>
    </row>
    <row r="476" spans="1:29" x14ac:dyDescent="0.2">
      <c r="A476" s="39" t="s">
        <v>2991</v>
      </c>
      <c r="B476" s="45" t="s">
        <v>598</v>
      </c>
      <c r="C476" s="40" t="s">
        <v>3334</v>
      </c>
      <c r="D476" s="53">
        <v>9307.15</v>
      </c>
      <c r="E476" s="53">
        <v>236361.06</v>
      </c>
      <c r="F476" s="53">
        <v>6058394.820000005</v>
      </c>
      <c r="G476" s="578">
        <f t="shared" si="67"/>
        <v>6304063.0300000049</v>
      </c>
      <c r="H476" s="41"/>
      <c r="I476" s="41"/>
      <c r="J476" s="41"/>
      <c r="K476" s="41">
        <f t="shared" si="69"/>
        <v>9307.15</v>
      </c>
      <c r="L476" s="41">
        <f t="shared" si="70"/>
        <v>236361.06</v>
      </c>
      <c r="M476" s="41">
        <f t="shared" si="71"/>
        <v>6058394.820000005</v>
      </c>
      <c r="N476" s="363">
        <f t="shared" si="68"/>
        <v>0</v>
      </c>
      <c r="O476" s="43" t="s">
        <v>3309</v>
      </c>
      <c r="P476" s="43"/>
      <c r="R476" s="41">
        <f t="shared" si="64"/>
        <v>0</v>
      </c>
      <c r="S476" s="41">
        <f t="shared" si="65"/>
        <v>0</v>
      </c>
      <c r="T476" s="41">
        <f t="shared" si="66"/>
        <v>0</v>
      </c>
      <c r="U476" s="41"/>
      <c r="V476" s="44" t="str">
        <f>IF($P476="High",$S476,IF($P476="Mix",SUMIF('High_Low Voltage Mix Summary'!$B$10:$B$17,$B328,'High_Low Voltage Mix Summary'!$D$10:$D$17),""))</f>
        <v/>
      </c>
      <c r="W476" s="44" t="str">
        <f>IF($P476="Low",$S476,IF($P476="Mix",SUMIF('High_Low Voltage Mix Summary'!$B$10:$B$17,$B328,'High_Low Voltage Mix Summary'!$E$10:$E$17),""))</f>
        <v/>
      </c>
      <c r="X476" s="44" t="str">
        <f>IF($P476="High",$T476,IF($P476="Mix",SUMIF('High_Low Voltage Mix Summary'!$B$10:$B$17,$B328,'High_Low Voltage Mix Summary'!$F$10:$F$17),""))</f>
        <v/>
      </c>
      <c r="Y476" s="44" t="str">
        <f>IF($P476="Low",$T476,IF($P476="Mix",SUMIF('High_Low Voltage Mix Summary'!$B$10:$B$17,$B328,'High_Low Voltage Mix Summary'!$G$10:$G$17),""))</f>
        <v/>
      </c>
      <c r="Z476" s="44" t="str">
        <f>IF(OR($P476="High",$P476="Low"),"",IF($P476="Mix",SUMIF('High_Low Voltage Mix Summary'!$B$10:$B$17,$B328,'High_Low Voltage Mix Summary'!$H$10:$H$17),""))</f>
        <v/>
      </c>
      <c r="AB476" s="49">
        <f>SUMIF('Antelope Bailey Split BA'!$B$7:$B$29,B476,'Antelope Bailey Split BA'!$C$7:$C$29)</f>
        <v>0</v>
      </c>
      <c r="AC476" s="49" t="str">
        <f>IF(AND(AB476=1,'Plant Total by Account'!$H$1=2),"EKWRA","")</f>
        <v/>
      </c>
    </row>
    <row r="477" spans="1:29" x14ac:dyDescent="0.2">
      <c r="A477" s="39" t="s">
        <v>2992</v>
      </c>
      <c r="B477" s="45" t="s">
        <v>599</v>
      </c>
      <c r="C477" s="40" t="s">
        <v>3333</v>
      </c>
      <c r="D477" s="53">
        <v>12064.630000000001</v>
      </c>
      <c r="E477" s="53">
        <v>29976.710000000003</v>
      </c>
      <c r="F477" s="53">
        <v>1375701.87</v>
      </c>
      <c r="G477" s="578">
        <f t="shared" si="67"/>
        <v>1417743.2100000002</v>
      </c>
      <c r="H477" s="41"/>
      <c r="I477" s="41"/>
      <c r="J477" s="41"/>
      <c r="K477" s="41">
        <f t="shared" si="69"/>
        <v>12064.630000000001</v>
      </c>
      <c r="L477" s="41">
        <f t="shared" si="70"/>
        <v>29976.710000000003</v>
      </c>
      <c r="M477" s="41">
        <f t="shared" si="71"/>
        <v>1375701.87</v>
      </c>
      <c r="N477" s="363">
        <f t="shared" si="68"/>
        <v>0</v>
      </c>
      <c r="O477" s="43" t="s">
        <v>3309</v>
      </c>
      <c r="P477" s="43"/>
      <c r="R477" s="41">
        <f t="shared" si="64"/>
        <v>0</v>
      </c>
      <c r="S477" s="41">
        <f t="shared" si="65"/>
        <v>0</v>
      </c>
      <c r="T477" s="41">
        <f t="shared" si="66"/>
        <v>0</v>
      </c>
      <c r="U477" s="41"/>
      <c r="V477" s="44" t="str">
        <f>IF($P477="High",$S477,IF($P477="Mix",SUMIF('High_Low Voltage Mix Summary'!$B$10:$B$17,$B329,'High_Low Voltage Mix Summary'!$D$10:$D$17),""))</f>
        <v/>
      </c>
      <c r="W477" s="44" t="str">
        <f>IF($P477="Low",$S477,IF($P477="Mix",SUMIF('High_Low Voltage Mix Summary'!$B$10:$B$17,$B329,'High_Low Voltage Mix Summary'!$E$10:$E$17),""))</f>
        <v/>
      </c>
      <c r="X477" s="44" t="str">
        <f>IF($P477="High",$T477,IF($P477="Mix",SUMIF('High_Low Voltage Mix Summary'!$B$10:$B$17,$B329,'High_Low Voltage Mix Summary'!$F$10:$F$17),""))</f>
        <v/>
      </c>
      <c r="Y477" s="44" t="str">
        <f>IF($P477="Low",$T477,IF($P477="Mix",SUMIF('High_Low Voltage Mix Summary'!$B$10:$B$17,$B329,'High_Low Voltage Mix Summary'!$G$10:$G$17),""))</f>
        <v/>
      </c>
      <c r="Z477" s="44" t="str">
        <f>IF(OR($P477="High",$P477="Low"),"",IF($P477="Mix",SUMIF('High_Low Voltage Mix Summary'!$B$10:$B$17,$B329,'High_Low Voltage Mix Summary'!$H$10:$H$17),""))</f>
        <v/>
      </c>
      <c r="AB477" s="49">
        <f>SUMIF('Antelope Bailey Split BA'!$B$7:$B$29,B477,'Antelope Bailey Split BA'!$C$7:$C$29)</f>
        <v>0</v>
      </c>
      <c r="AC477" s="49" t="str">
        <f>IF(AND(AB477=1,'Plant Total by Account'!$H$1=2),"EKWRA","")</f>
        <v/>
      </c>
    </row>
    <row r="478" spans="1:29" x14ac:dyDescent="0.2">
      <c r="A478" s="39" t="s">
        <v>2993</v>
      </c>
      <c r="B478" s="45" t="s">
        <v>131</v>
      </c>
      <c r="C478" s="40" t="s">
        <v>3334</v>
      </c>
      <c r="D478" s="53">
        <v>0</v>
      </c>
      <c r="E478" s="53">
        <v>0</v>
      </c>
      <c r="F478" s="53">
        <v>40349.85</v>
      </c>
      <c r="G478" s="578">
        <f t="shared" si="67"/>
        <v>40349.85</v>
      </c>
      <c r="H478" s="41"/>
      <c r="I478" s="41"/>
      <c r="J478" s="41"/>
      <c r="K478" s="41">
        <f t="shared" si="69"/>
        <v>0</v>
      </c>
      <c r="L478" s="41">
        <f t="shared" si="70"/>
        <v>0</v>
      </c>
      <c r="M478" s="41">
        <f t="shared" si="71"/>
        <v>40349.85</v>
      </c>
      <c r="N478" s="363">
        <f t="shared" si="68"/>
        <v>0</v>
      </c>
      <c r="O478" s="43" t="s">
        <v>3309</v>
      </c>
      <c r="P478" s="43"/>
      <c r="R478" s="41">
        <f t="shared" si="64"/>
        <v>0</v>
      </c>
      <c r="S478" s="41">
        <f t="shared" si="65"/>
        <v>0</v>
      </c>
      <c r="T478" s="41">
        <f t="shared" si="66"/>
        <v>0</v>
      </c>
      <c r="U478" s="41"/>
      <c r="V478" s="44" t="str">
        <f>IF($P478="High",$S478,IF($P478="Mix",SUMIF('High_Low Voltage Mix Summary'!$B$10:$B$17,#REF!,'High_Low Voltage Mix Summary'!$D$10:$D$17),""))</f>
        <v/>
      </c>
      <c r="W478" s="44" t="str">
        <f>IF($P478="Low",$S478,IF($P478="Mix",SUMIF('High_Low Voltage Mix Summary'!$B$10:$B$17,#REF!,'High_Low Voltage Mix Summary'!$E$10:$E$17),""))</f>
        <v/>
      </c>
      <c r="X478" s="44" t="str">
        <f>IF($P478="High",$T478,IF($P478="Mix",SUMIF('High_Low Voltage Mix Summary'!$B$10:$B$17,#REF!,'High_Low Voltage Mix Summary'!$F$10:$F$17),""))</f>
        <v/>
      </c>
      <c r="Y478" s="44" t="str">
        <f>IF($P478="Low",$T478,IF($P478="Mix",SUMIF('High_Low Voltage Mix Summary'!$B$10:$B$17,#REF!,'High_Low Voltage Mix Summary'!$G$10:$G$17),""))</f>
        <v/>
      </c>
      <c r="Z478" s="44" t="str">
        <f>IF(OR($P478="High",$P478="Low"),"",IF($P478="Mix",SUMIF('High_Low Voltage Mix Summary'!$B$10:$B$17,#REF!,'High_Low Voltage Mix Summary'!$H$10:$H$17),""))</f>
        <v/>
      </c>
      <c r="AB478" s="49">
        <f>SUMIF('Antelope Bailey Split BA'!$B$7:$B$29,B478,'Antelope Bailey Split BA'!$C$7:$C$29)</f>
        <v>0</v>
      </c>
      <c r="AC478" s="49" t="str">
        <f>IF(AND(AB478=1,'Plant Total by Account'!$H$1=2),"EKWRA","")</f>
        <v/>
      </c>
    </row>
    <row r="479" spans="1:29" x14ac:dyDescent="0.2">
      <c r="A479" s="39" t="s">
        <v>2994</v>
      </c>
      <c r="B479" s="40" t="s">
        <v>600</v>
      </c>
      <c r="C479" s="40" t="s">
        <v>3334</v>
      </c>
      <c r="D479" s="53">
        <v>795975.01</v>
      </c>
      <c r="E479" s="53">
        <v>527901.08000000007</v>
      </c>
      <c r="F479" s="53">
        <v>7971237.1100000143</v>
      </c>
      <c r="G479" s="578">
        <f t="shared" si="67"/>
        <v>9295113.2000000142</v>
      </c>
      <c r="H479" s="41"/>
      <c r="I479" s="41"/>
      <c r="J479" s="41"/>
      <c r="K479" s="41">
        <f t="shared" si="69"/>
        <v>795975.01</v>
      </c>
      <c r="L479" s="41">
        <f t="shared" si="70"/>
        <v>527901.08000000007</v>
      </c>
      <c r="M479" s="41">
        <f t="shared" si="71"/>
        <v>7971237.1100000143</v>
      </c>
      <c r="N479" s="363">
        <f t="shared" si="68"/>
        <v>0</v>
      </c>
      <c r="O479" s="43" t="s">
        <v>3309</v>
      </c>
      <c r="P479" s="43"/>
      <c r="R479" s="41">
        <f t="shared" si="64"/>
        <v>0</v>
      </c>
      <c r="S479" s="41">
        <f t="shared" si="65"/>
        <v>0</v>
      </c>
      <c r="T479" s="41">
        <f t="shared" si="66"/>
        <v>0</v>
      </c>
      <c r="U479" s="41"/>
      <c r="V479" s="44" t="str">
        <f>IF($P479="High",$S479,IF($P479="Mix",SUMIF('High_Low Voltage Mix Summary'!$B$10:$B$17,$B553,'High_Low Voltage Mix Summary'!$D$10:$D$17),""))</f>
        <v/>
      </c>
      <c r="W479" s="44" t="str">
        <f>IF($P479="Low",$S479,IF($P479="Mix",SUMIF('High_Low Voltage Mix Summary'!$B$10:$B$17,$B553,'High_Low Voltage Mix Summary'!$E$10:$E$17),""))</f>
        <v/>
      </c>
      <c r="X479" s="44" t="str">
        <f>IF($P479="High",$T479,IF($P479="Mix",SUMIF('High_Low Voltage Mix Summary'!$B$10:$B$17,$B553,'High_Low Voltage Mix Summary'!$F$10:$F$17),""))</f>
        <v/>
      </c>
      <c r="Y479" s="44" t="str">
        <f>IF($P479="Low",$T479,IF($P479="Mix",SUMIF('High_Low Voltage Mix Summary'!$B$10:$B$17,$B553,'High_Low Voltage Mix Summary'!$G$10:$G$17),""))</f>
        <v/>
      </c>
      <c r="Z479" s="44" t="str">
        <f>IF(OR($P479="High",$P479="Low"),"",IF($P479="Mix",SUMIF('High_Low Voltage Mix Summary'!$B$10:$B$17,$B553,'High_Low Voltage Mix Summary'!$H$10:$H$17),""))</f>
        <v/>
      </c>
      <c r="AB479" s="49">
        <f>SUMIF('Antelope Bailey Split BA'!$B$7:$B$29,B479,'Antelope Bailey Split BA'!$C$7:$C$29)</f>
        <v>0</v>
      </c>
      <c r="AC479" s="49" t="str">
        <f>IF(AND(AB479=1,'Plant Total by Account'!$H$1=2),"EKWRA","")</f>
        <v/>
      </c>
    </row>
    <row r="480" spans="1:29" x14ac:dyDescent="0.2">
      <c r="A480" s="39" t="s">
        <v>2451</v>
      </c>
      <c r="B480" s="45" t="s">
        <v>601</v>
      </c>
      <c r="C480" s="40" t="s">
        <v>3334</v>
      </c>
      <c r="D480" s="53">
        <v>0</v>
      </c>
      <c r="E480" s="53">
        <v>406515.67000000004</v>
      </c>
      <c r="F480" s="53">
        <v>4363898.4700000016</v>
      </c>
      <c r="G480" s="578">
        <f t="shared" si="67"/>
        <v>4770414.1400000015</v>
      </c>
      <c r="H480" s="41"/>
      <c r="I480" s="41"/>
      <c r="J480" s="41"/>
      <c r="K480" s="41">
        <f t="shared" si="69"/>
        <v>0</v>
      </c>
      <c r="L480" s="41">
        <f t="shared" si="70"/>
        <v>406515.67000000004</v>
      </c>
      <c r="M480" s="41">
        <f t="shared" si="71"/>
        <v>4363898.4700000016</v>
      </c>
      <c r="N480" s="363">
        <f t="shared" si="68"/>
        <v>0</v>
      </c>
      <c r="O480" s="43" t="s">
        <v>3309</v>
      </c>
      <c r="P480" s="43"/>
      <c r="R480" s="41">
        <f t="shared" si="64"/>
        <v>0</v>
      </c>
      <c r="S480" s="41">
        <f t="shared" si="65"/>
        <v>0</v>
      </c>
      <c r="T480" s="41">
        <f t="shared" si="66"/>
        <v>0</v>
      </c>
      <c r="U480" s="41"/>
      <c r="V480" s="44" t="str">
        <f>IF($P480="High",$S480,IF($P480="Mix",SUMIF('High_Low Voltage Mix Summary'!$B$10:$B$17,$B330,'High_Low Voltage Mix Summary'!$D$10:$D$17),""))</f>
        <v/>
      </c>
      <c r="W480" s="44" t="str">
        <f>IF($P480="Low",$S480,IF($P480="Mix",SUMIF('High_Low Voltage Mix Summary'!$B$10:$B$17,$B330,'High_Low Voltage Mix Summary'!$E$10:$E$17),""))</f>
        <v/>
      </c>
      <c r="X480" s="44" t="str">
        <f>IF($P480="High",$T480,IF($P480="Mix",SUMIF('High_Low Voltage Mix Summary'!$B$10:$B$17,$B330,'High_Low Voltage Mix Summary'!$F$10:$F$17),""))</f>
        <v/>
      </c>
      <c r="Y480" s="44" t="str">
        <f>IF($P480="Low",$T480,IF($P480="Mix",SUMIF('High_Low Voltage Mix Summary'!$B$10:$B$17,$B330,'High_Low Voltage Mix Summary'!$G$10:$G$17),""))</f>
        <v/>
      </c>
      <c r="Z480" s="44" t="str">
        <f>IF(OR($P480="High",$P480="Low"),"",IF($P480="Mix",SUMIF('High_Low Voltage Mix Summary'!$B$10:$B$17,$B330,'High_Low Voltage Mix Summary'!$H$10:$H$17),""))</f>
        <v/>
      </c>
      <c r="AB480" s="49">
        <f>SUMIF('Antelope Bailey Split BA'!$B$7:$B$29,B480,'Antelope Bailey Split BA'!$C$7:$C$29)</f>
        <v>0</v>
      </c>
      <c r="AC480" s="49" t="str">
        <f>IF(AND(AB480=1,'Plant Total by Account'!$H$1=2),"EKWRA","")</f>
        <v/>
      </c>
    </row>
    <row r="481" spans="1:29" x14ac:dyDescent="0.2">
      <c r="A481" s="39" t="s">
        <v>2995</v>
      </c>
      <c r="B481" s="45" t="s">
        <v>602</v>
      </c>
      <c r="C481" s="40" t="s">
        <v>3334</v>
      </c>
      <c r="D481" s="53">
        <v>2141.52</v>
      </c>
      <c r="E481" s="53">
        <v>7329.18</v>
      </c>
      <c r="F481" s="53">
        <v>297158.13</v>
      </c>
      <c r="G481" s="578">
        <f t="shared" si="67"/>
        <v>306628.83</v>
      </c>
      <c r="H481" s="41"/>
      <c r="I481" s="41"/>
      <c r="J481" s="41"/>
      <c r="K481" s="41">
        <f t="shared" si="69"/>
        <v>2141.52</v>
      </c>
      <c r="L481" s="41">
        <f t="shared" si="70"/>
        <v>7329.18</v>
      </c>
      <c r="M481" s="41">
        <f t="shared" si="71"/>
        <v>297158.13</v>
      </c>
      <c r="N481" s="363">
        <f t="shared" si="68"/>
        <v>0</v>
      </c>
      <c r="O481" s="43" t="s">
        <v>3309</v>
      </c>
      <c r="P481" s="43"/>
      <c r="R481" s="41">
        <f t="shared" si="64"/>
        <v>0</v>
      </c>
      <c r="S481" s="41">
        <f t="shared" si="65"/>
        <v>0</v>
      </c>
      <c r="T481" s="41">
        <f t="shared" si="66"/>
        <v>0</v>
      </c>
      <c r="U481" s="41"/>
      <c r="V481" s="44" t="str">
        <f>IF($P481="High",$S481,IF($P481="Mix",SUMIF('High_Low Voltage Mix Summary'!$B$10:$B$17,$B331,'High_Low Voltage Mix Summary'!$D$10:$D$17),""))</f>
        <v/>
      </c>
      <c r="W481" s="44" t="str">
        <f>IF($P481="Low",$S481,IF($P481="Mix",SUMIF('High_Low Voltage Mix Summary'!$B$10:$B$17,$B331,'High_Low Voltage Mix Summary'!$E$10:$E$17),""))</f>
        <v/>
      </c>
      <c r="X481" s="44" t="str">
        <f>IF($P481="High",$T481,IF($P481="Mix",SUMIF('High_Low Voltage Mix Summary'!$B$10:$B$17,$B331,'High_Low Voltage Mix Summary'!$F$10:$F$17),""))</f>
        <v/>
      </c>
      <c r="Y481" s="44" t="str">
        <f>IF($P481="Low",$T481,IF($P481="Mix",SUMIF('High_Low Voltage Mix Summary'!$B$10:$B$17,$B331,'High_Low Voltage Mix Summary'!$G$10:$G$17),""))</f>
        <v/>
      </c>
      <c r="Z481" s="44" t="str">
        <f>IF(OR($P481="High",$P481="Low"),"",IF($P481="Mix",SUMIF('High_Low Voltage Mix Summary'!$B$10:$B$17,$B331,'High_Low Voltage Mix Summary'!$H$10:$H$17),""))</f>
        <v/>
      </c>
      <c r="AB481" s="49">
        <f>SUMIF('Antelope Bailey Split BA'!$B$7:$B$29,B481,'Antelope Bailey Split BA'!$C$7:$C$29)</f>
        <v>0</v>
      </c>
      <c r="AC481" s="49" t="str">
        <f>IF(AND(AB481=1,'Plant Total by Account'!$H$1=2),"EKWRA","")</f>
        <v/>
      </c>
    </row>
    <row r="482" spans="1:29" x14ac:dyDescent="0.2">
      <c r="A482" s="39" t="s">
        <v>2996</v>
      </c>
      <c r="B482" s="45" t="s">
        <v>603</v>
      </c>
      <c r="C482" s="40" t="s">
        <v>3334</v>
      </c>
      <c r="D482" s="53">
        <v>19820.61</v>
      </c>
      <c r="E482" s="53">
        <v>170603.62</v>
      </c>
      <c r="F482" s="53">
        <v>4751690.870000001</v>
      </c>
      <c r="G482" s="578">
        <f t="shared" si="67"/>
        <v>4942115.1000000015</v>
      </c>
      <c r="H482" s="41"/>
      <c r="I482" s="41"/>
      <c r="J482" s="41"/>
      <c r="K482" s="41">
        <f t="shared" si="69"/>
        <v>19820.61</v>
      </c>
      <c r="L482" s="41">
        <f t="shared" si="70"/>
        <v>170603.62</v>
      </c>
      <c r="M482" s="41">
        <f t="shared" si="71"/>
        <v>4751690.870000001</v>
      </c>
      <c r="N482" s="363">
        <f t="shared" si="68"/>
        <v>0</v>
      </c>
      <c r="O482" s="43" t="s">
        <v>3309</v>
      </c>
      <c r="P482" s="43"/>
      <c r="R482" s="41">
        <f t="shared" si="64"/>
        <v>0</v>
      </c>
      <c r="S482" s="41">
        <f t="shared" si="65"/>
        <v>0</v>
      </c>
      <c r="T482" s="41">
        <f t="shared" si="66"/>
        <v>0</v>
      </c>
      <c r="U482" s="41"/>
      <c r="V482" s="44" t="str">
        <f>IF($P482="High",$S482,IF($P482="Mix",SUMIF('High_Low Voltage Mix Summary'!$B$10:$B$17,$B332,'High_Low Voltage Mix Summary'!$D$10:$D$17),""))</f>
        <v/>
      </c>
      <c r="W482" s="44" t="str">
        <f>IF($P482="Low",$S482,IF($P482="Mix",SUMIF('High_Low Voltage Mix Summary'!$B$10:$B$17,$B332,'High_Low Voltage Mix Summary'!$E$10:$E$17),""))</f>
        <v/>
      </c>
      <c r="X482" s="44" t="str">
        <f>IF($P482="High",$T482,IF($P482="Mix",SUMIF('High_Low Voltage Mix Summary'!$B$10:$B$17,$B332,'High_Low Voltage Mix Summary'!$F$10:$F$17),""))</f>
        <v/>
      </c>
      <c r="Y482" s="44" t="str">
        <f>IF($P482="Low",$T482,IF($P482="Mix",SUMIF('High_Low Voltage Mix Summary'!$B$10:$B$17,$B332,'High_Low Voltage Mix Summary'!$G$10:$G$17),""))</f>
        <v/>
      </c>
      <c r="Z482" s="44" t="str">
        <f>IF(OR($P482="High",$P482="Low"),"",IF($P482="Mix",SUMIF('High_Low Voltage Mix Summary'!$B$10:$B$17,$B332,'High_Low Voltage Mix Summary'!$H$10:$H$17),""))</f>
        <v/>
      </c>
      <c r="AB482" s="49">
        <f>SUMIF('Antelope Bailey Split BA'!$B$7:$B$29,B482,'Antelope Bailey Split BA'!$C$7:$C$29)</f>
        <v>0</v>
      </c>
      <c r="AC482" s="49" t="str">
        <f>IF(AND(AB482=1,'Plant Total by Account'!$H$1=2),"EKWRA","")</f>
        <v/>
      </c>
    </row>
    <row r="483" spans="1:29" x14ac:dyDescent="0.2">
      <c r="A483" s="39" t="s">
        <v>2997</v>
      </c>
      <c r="B483" s="45" t="s">
        <v>604</v>
      </c>
      <c r="C483" s="40" t="s">
        <v>3334</v>
      </c>
      <c r="D483" s="53">
        <v>850.47</v>
      </c>
      <c r="E483" s="53">
        <v>3351.4500000000003</v>
      </c>
      <c r="F483" s="53">
        <v>140139.62000000002</v>
      </c>
      <c r="G483" s="578">
        <f t="shared" si="67"/>
        <v>144341.54000000004</v>
      </c>
      <c r="H483" s="41"/>
      <c r="I483" s="41"/>
      <c r="J483" s="41"/>
      <c r="K483" s="41">
        <f t="shared" si="69"/>
        <v>850.47</v>
      </c>
      <c r="L483" s="41">
        <f t="shared" si="70"/>
        <v>3351.4500000000003</v>
      </c>
      <c r="M483" s="41">
        <f t="shared" si="71"/>
        <v>140139.62000000002</v>
      </c>
      <c r="N483" s="363">
        <f t="shared" si="68"/>
        <v>0</v>
      </c>
      <c r="O483" s="43" t="s">
        <v>3309</v>
      </c>
      <c r="P483" s="43"/>
      <c r="R483" s="41">
        <f t="shared" si="64"/>
        <v>0</v>
      </c>
      <c r="S483" s="41">
        <f t="shared" si="65"/>
        <v>0</v>
      </c>
      <c r="T483" s="41">
        <f t="shared" si="66"/>
        <v>0</v>
      </c>
      <c r="U483" s="41"/>
      <c r="V483" s="44" t="str">
        <f>IF($P483="High",$S483,IF($P483="Mix",SUMIF('High_Low Voltage Mix Summary'!$B$10:$B$17,$B333,'High_Low Voltage Mix Summary'!$D$10:$D$17),""))</f>
        <v/>
      </c>
      <c r="W483" s="44" t="str">
        <f>IF($P483="Low",$S483,IF($P483="Mix",SUMIF('High_Low Voltage Mix Summary'!$B$10:$B$17,$B333,'High_Low Voltage Mix Summary'!$E$10:$E$17),""))</f>
        <v/>
      </c>
      <c r="X483" s="44" t="str">
        <f>IF($P483="High",$T483,IF($P483="Mix",SUMIF('High_Low Voltage Mix Summary'!$B$10:$B$17,$B333,'High_Low Voltage Mix Summary'!$F$10:$F$17),""))</f>
        <v/>
      </c>
      <c r="Y483" s="44" t="str">
        <f>IF($P483="Low",$T483,IF($P483="Mix",SUMIF('High_Low Voltage Mix Summary'!$B$10:$B$17,$B333,'High_Low Voltage Mix Summary'!$G$10:$G$17),""))</f>
        <v/>
      </c>
      <c r="Z483" s="44" t="str">
        <f>IF(OR($P483="High",$P483="Low"),"",IF($P483="Mix",SUMIF('High_Low Voltage Mix Summary'!$B$10:$B$17,$B333,'High_Low Voltage Mix Summary'!$H$10:$H$17),""))</f>
        <v/>
      </c>
      <c r="AB483" s="49">
        <f>SUMIF('Antelope Bailey Split BA'!$B$7:$B$29,B483,'Antelope Bailey Split BA'!$C$7:$C$29)</f>
        <v>0</v>
      </c>
      <c r="AC483" s="49" t="str">
        <f>IF(AND(AB483=1,'Plant Total by Account'!$H$1=2),"EKWRA","")</f>
        <v/>
      </c>
    </row>
    <row r="484" spans="1:29" x14ac:dyDescent="0.2">
      <c r="A484" s="39" t="s">
        <v>2998</v>
      </c>
      <c r="B484" s="45" t="s">
        <v>605</v>
      </c>
      <c r="C484" s="40" t="s">
        <v>3334</v>
      </c>
      <c r="D484" s="53">
        <v>14077.6</v>
      </c>
      <c r="E484" s="53">
        <v>205888.53999999998</v>
      </c>
      <c r="F484" s="53">
        <v>3325904.3999999985</v>
      </c>
      <c r="G484" s="578">
        <f t="shared" si="67"/>
        <v>3545870.5399999986</v>
      </c>
      <c r="H484" s="41"/>
      <c r="I484" s="41"/>
      <c r="J484" s="41"/>
      <c r="K484" s="41">
        <f t="shared" si="69"/>
        <v>14077.6</v>
      </c>
      <c r="L484" s="41">
        <f t="shared" si="70"/>
        <v>205888.53999999998</v>
      </c>
      <c r="M484" s="41">
        <f t="shared" si="71"/>
        <v>3325904.3999999985</v>
      </c>
      <c r="N484" s="363">
        <f t="shared" si="68"/>
        <v>0</v>
      </c>
      <c r="O484" s="43" t="s">
        <v>3309</v>
      </c>
      <c r="P484" s="43"/>
      <c r="R484" s="41">
        <f t="shared" si="64"/>
        <v>0</v>
      </c>
      <c r="S484" s="41">
        <f t="shared" si="65"/>
        <v>0</v>
      </c>
      <c r="T484" s="41">
        <f t="shared" si="66"/>
        <v>0</v>
      </c>
      <c r="U484" s="41"/>
      <c r="V484" s="44" t="str">
        <f>IF($P484="High",$S484,IF($P484="Mix",SUMIF('High_Low Voltage Mix Summary'!$B$10:$B$17,$B334,'High_Low Voltage Mix Summary'!$D$10:$D$17),""))</f>
        <v/>
      </c>
      <c r="W484" s="44" t="str">
        <f>IF($P484="Low",$S484,IF($P484="Mix",SUMIF('High_Low Voltage Mix Summary'!$B$10:$B$17,$B334,'High_Low Voltage Mix Summary'!$E$10:$E$17),""))</f>
        <v/>
      </c>
      <c r="X484" s="44" t="str">
        <f>IF($P484="High",$T484,IF($P484="Mix",SUMIF('High_Low Voltage Mix Summary'!$B$10:$B$17,$B334,'High_Low Voltage Mix Summary'!$F$10:$F$17),""))</f>
        <v/>
      </c>
      <c r="Y484" s="44" t="str">
        <f>IF($P484="Low",$T484,IF($P484="Mix",SUMIF('High_Low Voltage Mix Summary'!$B$10:$B$17,$B334,'High_Low Voltage Mix Summary'!$G$10:$G$17),""))</f>
        <v/>
      </c>
      <c r="Z484" s="44" t="str">
        <f>IF(OR($P484="High",$P484="Low"),"",IF($P484="Mix",SUMIF('High_Low Voltage Mix Summary'!$B$10:$B$17,$B334,'High_Low Voltage Mix Summary'!$H$10:$H$17),""))</f>
        <v/>
      </c>
      <c r="AB484" s="49">
        <f>SUMIF('Antelope Bailey Split BA'!$B$7:$B$29,B484,'Antelope Bailey Split BA'!$C$7:$C$29)</f>
        <v>0</v>
      </c>
      <c r="AC484" s="49" t="str">
        <f>IF(AND(AB484=1,'Plant Total by Account'!$H$1=2),"EKWRA","")</f>
        <v/>
      </c>
    </row>
    <row r="485" spans="1:29" x14ac:dyDescent="0.2">
      <c r="A485" s="39" t="s">
        <v>2999</v>
      </c>
      <c r="B485" s="45" t="s">
        <v>606</v>
      </c>
      <c r="C485" s="40" t="s">
        <v>3334</v>
      </c>
      <c r="D485" s="53">
        <v>8031.7300000000005</v>
      </c>
      <c r="E485" s="53">
        <v>237520.72</v>
      </c>
      <c r="F485" s="53">
        <v>9257407.7400000077</v>
      </c>
      <c r="G485" s="578">
        <f t="shared" si="67"/>
        <v>9502960.1900000069</v>
      </c>
      <c r="H485" s="41"/>
      <c r="I485" s="41"/>
      <c r="J485" s="41"/>
      <c r="K485" s="41">
        <f t="shared" si="69"/>
        <v>8031.7300000000005</v>
      </c>
      <c r="L485" s="41">
        <f t="shared" si="70"/>
        <v>237520.72</v>
      </c>
      <c r="M485" s="41">
        <f t="shared" si="71"/>
        <v>9257407.7400000077</v>
      </c>
      <c r="N485" s="363">
        <f t="shared" si="68"/>
        <v>0</v>
      </c>
      <c r="O485" s="43" t="s">
        <v>3309</v>
      </c>
      <c r="P485" s="43"/>
      <c r="R485" s="41">
        <f t="shared" si="64"/>
        <v>0</v>
      </c>
      <c r="S485" s="41">
        <f t="shared" si="65"/>
        <v>0</v>
      </c>
      <c r="T485" s="41">
        <f t="shared" si="66"/>
        <v>0</v>
      </c>
      <c r="U485" s="41"/>
      <c r="V485" s="44" t="str">
        <f>IF($P485="High",$S485,IF($P485="Mix",SUMIF('High_Low Voltage Mix Summary'!$B$10:$B$17,$B335,'High_Low Voltage Mix Summary'!$D$10:$D$17),""))</f>
        <v/>
      </c>
      <c r="W485" s="44" t="str">
        <f>IF($P485="Low",$S485,IF($P485="Mix",SUMIF('High_Low Voltage Mix Summary'!$B$10:$B$17,$B335,'High_Low Voltage Mix Summary'!$E$10:$E$17),""))</f>
        <v/>
      </c>
      <c r="X485" s="44" t="str">
        <f>IF($P485="High",$T485,IF($P485="Mix",SUMIF('High_Low Voltage Mix Summary'!$B$10:$B$17,$B335,'High_Low Voltage Mix Summary'!$F$10:$F$17),""))</f>
        <v/>
      </c>
      <c r="Y485" s="44" t="str">
        <f>IF($P485="Low",$T485,IF($P485="Mix",SUMIF('High_Low Voltage Mix Summary'!$B$10:$B$17,$B335,'High_Low Voltage Mix Summary'!$G$10:$G$17),""))</f>
        <v/>
      </c>
      <c r="Z485" s="44" t="str">
        <f>IF(OR($P485="High",$P485="Low"),"",IF($P485="Mix",SUMIF('High_Low Voltage Mix Summary'!$B$10:$B$17,$B335,'High_Low Voltage Mix Summary'!$H$10:$H$17),""))</f>
        <v/>
      </c>
      <c r="AB485" s="49">
        <f>SUMIF('Antelope Bailey Split BA'!$B$7:$B$29,B485,'Antelope Bailey Split BA'!$C$7:$C$29)</f>
        <v>0</v>
      </c>
      <c r="AC485" s="49" t="str">
        <f>IF(AND(AB485=1,'Plant Total by Account'!$H$1=2),"EKWRA","")</f>
        <v/>
      </c>
    </row>
    <row r="486" spans="1:29" x14ac:dyDescent="0.2">
      <c r="A486" s="39" t="s">
        <v>3000</v>
      </c>
      <c r="B486" s="45" t="s">
        <v>607</v>
      </c>
      <c r="C486" s="40" t="s">
        <v>3334</v>
      </c>
      <c r="D486" s="53">
        <v>14261.56</v>
      </c>
      <c r="E486" s="53">
        <v>137255.84</v>
      </c>
      <c r="F486" s="53">
        <v>1465907.74</v>
      </c>
      <c r="G486" s="578">
        <f t="shared" si="67"/>
        <v>1617425.14</v>
      </c>
      <c r="H486" s="41"/>
      <c r="I486" s="41"/>
      <c r="J486" s="41"/>
      <c r="K486" s="41">
        <f t="shared" si="69"/>
        <v>14261.56</v>
      </c>
      <c r="L486" s="41">
        <f t="shared" si="70"/>
        <v>137255.84</v>
      </c>
      <c r="M486" s="41">
        <f t="shared" si="71"/>
        <v>1465907.74</v>
      </c>
      <c r="N486" s="363">
        <f t="shared" si="68"/>
        <v>0</v>
      </c>
      <c r="O486" s="43" t="s">
        <v>3309</v>
      </c>
      <c r="P486" s="43"/>
      <c r="R486" s="41">
        <f t="shared" si="64"/>
        <v>0</v>
      </c>
      <c r="S486" s="41">
        <f t="shared" si="65"/>
        <v>0</v>
      </c>
      <c r="T486" s="41">
        <f t="shared" si="66"/>
        <v>0</v>
      </c>
      <c r="U486" s="41"/>
      <c r="V486" s="44" t="str">
        <f>IF($P486="High",$S486,IF($P486="Mix",SUMIF('High_Low Voltage Mix Summary'!$B$10:$B$17,$B336,'High_Low Voltage Mix Summary'!$D$10:$D$17),""))</f>
        <v/>
      </c>
      <c r="W486" s="44" t="str">
        <f>IF($P486="Low",$S486,IF($P486="Mix",SUMIF('High_Low Voltage Mix Summary'!$B$10:$B$17,$B336,'High_Low Voltage Mix Summary'!$E$10:$E$17),""))</f>
        <v/>
      </c>
      <c r="X486" s="44" t="str">
        <f>IF($P486="High",$T486,IF($P486="Mix",SUMIF('High_Low Voltage Mix Summary'!$B$10:$B$17,$B336,'High_Low Voltage Mix Summary'!$F$10:$F$17),""))</f>
        <v/>
      </c>
      <c r="Y486" s="44" t="str">
        <f>IF($P486="Low",$T486,IF($P486="Mix",SUMIF('High_Low Voltage Mix Summary'!$B$10:$B$17,$B336,'High_Low Voltage Mix Summary'!$G$10:$G$17),""))</f>
        <v/>
      </c>
      <c r="Z486" s="44" t="str">
        <f>IF(OR($P486="High",$P486="Low"),"",IF($P486="Mix",SUMIF('High_Low Voltage Mix Summary'!$B$10:$B$17,$B336,'High_Low Voltage Mix Summary'!$H$10:$H$17),""))</f>
        <v/>
      </c>
      <c r="AB486" s="49">
        <f>SUMIF('Antelope Bailey Split BA'!$B$7:$B$29,B486,'Antelope Bailey Split BA'!$C$7:$C$29)</f>
        <v>0</v>
      </c>
      <c r="AC486" s="49" t="str">
        <f>IF(AND(AB486=1,'Plant Total by Account'!$H$1=2),"EKWRA","")</f>
        <v/>
      </c>
    </row>
    <row r="487" spans="1:29" x14ac:dyDescent="0.2">
      <c r="A487" s="39" t="s">
        <v>3001</v>
      </c>
      <c r="B487" s="45" t="s">
        <v>608</v>
      </c>
      <c r="C487" s="40" t="s">
        <v>3334</v>
      </c>
      <c r="D487" s="53">
        <v>13341.36</v>
      </c>
      <c r="E487" s="53">
        <v>266107.03999999998</v>
      </c>
      <c r="F487" s="53">
        <v>5747880.070000005</v>
      </c>
      <c r="G487" s="578">
        <f t="shared" si="67"/>
        <v>6027328.4700000053</v>
      </c>
      <c r="H487" s="41"/>
      <c r="I487" s="41"/>
      <c r="J487" s="41"/>
      <c r="K487" s="41">
        <f t="shared" si="69"/>
        <v>13341.36</v>
      </c>
      <c r="L487" s="41">
        <f t="shared" si="70"/>
        <v>266107.03999999998</v>
      </c>
      <c r="M487" s="41">
        <f t="shared" si="71"/>
        <v>5747880.070000005</v>
      </c>
      <c r="N487" s="363">
        <f t="shared" si="68"/>
        <v>0</v>
      </c>
      <c r="O487" s="43" t="s">
        <v>3309</v>
      </c>
      <c r="P487" s="43"/>
      <c r="R487" s="41">
        <f t="shared" si="64"/>
        <v>0</v>
      </c>
      <c r="S487" s="41">
        <f t="shared" si="65"/>
        <v>0</v>
      </c>
      <c r="T487" s="41">
        <f t="shared" si="66"/>
        <v>0</v>
      </c>
      <c r="U487" s="41"/>
      <c r="V487" s="44" t="str">
        <f>IF($P487="High",$S487,IF($P487="Mix",SUMIF('High_Low Voltage Mix Summary'!$B$10:$B$17,$B337,'High_Low Voltage Mix Summary'!$D$10:$D$17),""))</f>
        <v/>
      </c>
      <c r="W487" s="44" t="str">
        <f>IF($P487="Low",$S487,IF($P487="Mix",SUMIF('High_Low Voltage Mix Summary'!$B$10:$B$17,$B337,'High_Low Voltage Mix Summary'!$E$10:$E$17),""))</f>
        <v/>
      </c>
      <c r="X487" s="44" t="str">
        <f>IF($P487="High",$T487,IF($P487="Mix",SUMIF('High_Low Voltage Mix Summary'!$B$10:$B$17,$B337,'High_Low Voltage Mix Summary'!$F$10:$F$17),""))</f>
        <v/>
      </c>
      <c r="Y487" s="44" t="str">
        <f>IF($P487="Low",$T487,IF($P487="Mix",SUMIF('High_Low Voltage Mix Summary'!$B$10:$B$17,$B337,'High_Low Voltage Mix Summary'!$G$10:$G$17),""))</f>
        <v/>
      </c>
      <c r="Z487" s="44" t="str">
        <f>IF(OR($P487="High",$P487="Low"),"",IF($P487="Mix",SUMIF('High_Low Voltage Mix Summary'!$B$10:$B$17,$B337,'High_Low Voltage Mix Summary'!$H$10:$H$17),""))</f>
        <v/>
      </c>
      <c r="AB487" s="49">
        <f>SUMIF('Antelope Bailey Split BA'!$B$7:$B$29,B487,'Antelope Bailey Split BA'!$C$7:$C$29)</f>
        <v>0</v>
      </c>
      <c r="AC487" s="49" t="str">
        <f>IF(AND(AB487=1,'Plant Total by Account'!$H$1=2),"EKWRA","")</f>
        <v/>
      </c>
    </row>
    <row r="488" spans="1:29" x14ac:dyDescent="0.2">
      <c r="A488" s="39" t="s">
        <v>3002</v>
      </c>
      <c r="B488" s="45" t="s">
        <v>609</v>
      </c>
      <c r="C488" s="40" t="s">
        <v>3334</v>
      </c>
      <c r="D488" s="53">
        <v>4699.96</v>
      </c>
      <c r="E488" s="53">
        <v>14534.53</v>
      </c>
      <c r="F488" s="53">
        <v>1516314.63</v>
      </c>
      <c r="G488" s="578">
        <f t="shared" si="67"/>
        <v>1535549.1199999999</v>
      </c>
      <c r="H488" s="41"/>
      <c r="I488" s="41"/>
      <c r="J488" s="41"/>
      <c r="K488" s="41">
        <f t="shared" si="69"/>
        <v>4699.96</v>
      </c>
      <c r="L488" s="41">
        <f t="shared" si="70"/>
        <v>14534.53</v>
      </c>
      <c r="M488" s="41">
        <f t="shared" si="71"/>
        <v>1516314.63</v>
      </c>
      <c r="N488" s="363">
        <f t="shared" si="68"/>
        <v>0</v>
      </c>
      <c r="O488" s="43" t="s">
        <v>3309</v>
      </c>
      <c r="P488" s="43"/>
      <c r="R488" s="41">
        <f t="shared" si="64"/>
        <v>0</v>
      </c>
      <c r="S488" s="41">
        <f t="shared" si="65"/>
        <v>0</v>
      </c>
      <c r="T488" s="41">
        <f t="shared" si="66"/>
        <v>0</v>
      </c>
      <c r="U488" s="41"/>
      <c r="V488" s="44" t="str">
        <f>IF($P488="High",$S488,IF($P488="Mix",SUMIF('High_Low Voltage Mix Summary'!$B$10:$B$17,$B338,'High_Low Voltage Mix Summary'!$D$10:$D$17),""))</f>
        <v/>
      </c>
      <c r="W488" s="44" t="str">
        <f>IF($P488="Low",$S488,IF($P488="Mix",SUMIF('High_Low Voltage Mix Summary'!$B$10:$B$17,$B338,'High_Low Voltage Mix Summary'!$E$10:$E$17),""))</f>
        <v/>
      </c>
      <c r="X488" s="44" t="str">
        <f>IF($P488="High",$T488,IF($P488="Mix",SUMIF('High_Low Voltage Mix Summary'!$B$10:$B$17,$B338,'High_Low Voltage Mix Summary'!$F$10:$F$17),""))</f>
        <v/>
      </c>
      <c r="Y488" s="44" t="str">
        <f>IF($P488="Low",$T488,IF($P488="Mix",SUMIF('High_Low Voltage Mix Summary'!$B$10:$B$17,$B338,'High_Low Voltage Mix Summary'!$G$10:$G$17),""))</f>
        <v/>
      </c>
      <c r="Z488" s="44" t="str">
        <f>IF(OR($P488="High",$P488="Low"),"",IF($P488="Mix",SUMIF('High_Low Voltage Mix Summary'!$B$10:$B$17,$B338,'High_Low Voltage Mix Summary'!$H$10:$H$17),""))</f>
        <v/>
      </c>
      <c r="AB488" s="49">
        <f>SUMIF('Antelope Bailey Split BA'!$B$7:$B$29,B488,'Antelope Bailey Split BA'!$C$7:$C$29)</f>
        <v>0</v>
      </c>
      <c r="AC488" s="49" t="str">
        <f>IF(AND(AB488=1,'Plant Total by Account'!$H$1=2),"EKWRA","")</f>
        <v/>
      </c>
    </row>
    <row r="489" spans="1:29" x14ac:dyDescent="0.2">
      <c r="A489" s="39" t="s">
        <v>3003</v>
      </c>
      <c r="B489" s="45" t="s">
        <v>610</v>
      </c>
      <c r="C489" s="40" t="s">
        <v>3334</v>
      </c>
      <c r="D489" s="53">
        <v>0</v>
      </c>
      <c r="E489" s="53">
        <v>534447.49</v>
      </c>
      <c r="F489" s="53">
        <v>8425205.3900000025</v>
      </c>
      <c r="G489" s="578">
        <f t="shared" si="67"/>
        <v>8959652.8800000027</v>
      </c>
      <c r="H489" s="41"/>
      <c r="I489" s="41"/>
      <c r="J489" s="41"/>
      <c r="K489" s="41">
        <f t="shared" si="69"/>
        <v>0</v>
      </c>
      <c r="L489" s="41">
        <f t="shared" si="70"/>
        <v>534447.49</v>
      </c>
      <c r="M489" s="41">
        <f t="shared" si="71"/>
        <v>8425205.3900000025</v>
      </c>
      <c r="N489" s="363">
        <f t="shared" si="68"/>
        <v>0</v>
      </c>
      <c r="O489" s="43" t="s">
        <v>3309</v>
      </c>
      <c r="P489" s="43"/>
      <c r="R489" s="41">
        <f t="shared" si="64"/>
        <v>0</v>
      </c>
      <c r="S489" s="41">
        <f t="shared" si="65"/>
        <v>0</v>
      </c>
      <c r="T489" s="41">
        <f t="shared" si="66"/>
        <v>0</v>
      </c>
      <c r="U489" s="41"/>
      <c r="V489" s="44" t="str">
        <f>IF($P489="High",$S489,IF($P489="Mix",SUMIF('High_Low Voltage Mix Summary'!$B$10:$B$17,$B339,'High_Low Voltage Mix Summary'!$D$10:$D$17),""))</f>
        <v/>
      </c>
      <c r="W489" s="44" t="str">
        <f>IF($P489="Low",$S489,IF($P489="Mix",SUMIF('High_Low Voltage Mix Summary'!$B$10:$B$17,$B339,'High_Low Voltage Mix Summary'!$E$10:$E$17),""))</f>
        <v/>
      </c>
      <c r="X489" s="44" t="str">
        <f>IF($P489="High",$T489,IF($P489="Mix",SUMIF('High_Low Voltage Mix Summary'!$B$10:$B$17,$B339,'High_Low Voltage Mix Summary'!$F$10:$F$17),""))</f>
        <v/>
      </c>
      <c r="Y489" s="44" t="str">
        <f>IF($P489="Low",$T489,IF($P489="Mix",SUMIF('High_Low Voltage Mix Summary'!$B$10:$B$17,$B339,'High_Low Voltage Mix Summary'!$G$10:$G$17),""))</f>
        <v/>
      </c>
      <c r="Z489" s="44" t="str">
        <f>IF(OR($P489="High",$P489="Low"),"",IF($P489="Mix",SUMIF('High_Low Voltage Mix Summary'!$B$10:$B$17,$B339,'High_Low Voltage Mix Summary'!$H$10:$H$17),""))</f>
        <v/>
      </c>
      <c r="AB489" s="49">
        <f>SUMIF('Antelope Bailey Split BA'!$B$7:$B$29,B489,'Antelope Bailey Split BA'!$C$7:$C$29)</f>
        <v>0</v>
      </c>
      <c r="AC489" s="49" t="str">
        <f>IF(AND(AB489=1,'Plant Total by Account'!$H$1=2),"EKWRA","")</f>
        <v/>
      </c>
    </row>
    <row r="490" spans="1:29" x14ac:dyDescent="0.2">
      <c r="A490" s="39" t="s">
        <v>3004</v>
      </c>
      <c r="B490" s="45" t="s">
        <v>611</v>
      </c>
      <c r="C490" s="40" t="s">
        <v>3334</v>
      </c>
      <c r="D490" s="53">
        <v>505887.21</v>
      </c>
      <c r="E490" s="53">
        <v>271702.97000000003</v>
      </c>
      <c r="F490" s="53">
        <v>4529872.740000003</v>
      </c>
      <c r="G490" s="578">
        <f t="shared" si="67"/>
        <v>5307462.9200000027</v>
      </c>
      <c r="H490" s="41"/>
      <c r="I490" s="41"/>
      <c r="J490" s="41"/>
      <c r="K490" s="41">
        <f t="shared" si="69"/>
        <v>505887.21</v>
      </c>
      <c r="L490" s="41">
        <f t="shared" si="70"/>
        <v>271702.97000000003</v>
      </c>
      <c r="M490" s="41">
        <f t="shared" si="71"/>
        <v>4529872.740000003</v>
      </c>
      <c r="N490" s="363">
        <f t="shared" si="68"/>
        <v>0</v>
      </c>
      <c r="O490" s="43" t="s">
        <v>3309</v>
      </c>
      <c r="P490" s="43"/>
      <c r="R490" s="41">
        <f t="shared" si="64"/>
        <v>0</v>
      </c>
      <c r="S490" s="41">
        <f t="shared" si="65"/>
        <v>0</v>
      </c>
      <c r="T490" s="41">
        <f t="shared" si="66"/>
        <v>0</v>
      </c>
      <c r="U490" s="41"/>
      <c r="V490" s="44" t="str">
        <f>IF($P490="High",$S490,IF($P490="Mix",SUMIF('High_Low Voltage Mix Summary'!$B$10:$B$17,$B340,'High_Low Voltage Mix Summary'!$D$10:$D$17),""))</f>
        <v/>
      </c>
      <c r="W490" s="44" t="str">
        <f>IF($P490="Low",$S490,IF($P490="Mix",SUMIF('High_Low Voltage Mix Summary'!$B$10:$B$17,$B340,'High_Low Voltage Mix Summary'!$E$10:$E$17),""))</f>
        <v/>
      </c>
      <c r="X490" s="44" t="str">
        <f>IF($P490="High",$T490,IF($P490="Mix",SUMIF('High_Low Voltage Mix Summary'!$B$10:$B$17,$B340,'High_Low Voltage Mix Summary'!$F$10:$F$17),""))</f>
        <v/>
      </c>
      <c r="Y490" s="44" t="str">
        <f>IF($P490="Low",$T490,IF($P490="Mix",SUMIF('High_Low Voltage Mix Summary'!$B$10:$B$17,$B340,'High_Low Voltage Mix Summary'!$G$10:$G$17),""))</f>
        <v/>
      </c>
      <c r="Z490" s="44" t="str">
        <f>IF(OR($P490="High",$P490="Low"),"",IF($P490="Mix",SUMIF('High_Low Voltage Mix Summary'!$B$10:$B$17,$B340,'High_Low Voltage Mix Summary'!$H$10:$H$17),""))</f>
        <v/>
      </c>
      <c r="AB490" s="49">
        <f>SUMIF('Antelope Bailey Split BA'!$B$7:$B$29,B490,'Antelope Bailey Split BA'!$C$7:$C$29)</f>
        <v>0</v>
      </c>
      <c r="AC490" s="49" t="str">
        <f>IF(AND(AB490=1,'Plant Total by Account'!$H$1=2),"EKWRA","")</f>
        <v/>
      </c>
    </row>
    <row r="491" spans="1:29" x14ac:dyDescent="0.2">
      <c r="A491" s="39" t="s">
        <v>3005</v>
      </c>
      <c r="B491" s="45" t="s">
        <v>612</v>
      </c>
      <c r="C491" s="40" t="s">
        <v>3334</v>
      </c>
      <c r="D491" s="53">
        <v>0</v>
      </c>
      <c r="E491" s="53">
        <v>6899</v>
      </c>
      <c r="F491" s="53">
        <v>10500.24</v>
      </c>
      <c r="G491" s="578">
        <f t="shared" si="67"/>
        <v>17399.239999999998</v>
      </c>
      <c r="H491" s="41"/>
      <c r="I491" s="41"/>
      <c r="J491" s="41"/>
      <c r="K491" s="41">
        <f t="shared" si="69"/>
        <v>0</v>
      </c>
      <c r="L491" s="41">
        <f t="shared" si="70"/>
        <v>6899</v>
      </c>
      <c r="M491" s="41">
        <f t="shared" si="71"/>
        <v>10500.24</v>
      </c>
      <c r="N491" s="363">
        <f t="shared" si="68"/>
        <v>0</v>
      </c>
      <c r="O491" s="43" t="s">
        <v>3309</v>
      </c>
      <c r="P491" s="43"/>
      <c r="R491" s="41">
        <f t="shared" si="64"/>
        <v>0</v>
      </c>
      <c r="S491" s="41">
        <f t="shared" si="65"/>
        <v>0</v>
      </c>
      <c r="T491" s="41">
        <f t="shared" si="66"/>
        <v>0</v>
      </c>
      <c r="U491" s="41"/>
      <c r="V491" s="44" t="str">
        <f>IF($P491="High",$S491,IF($P491="Mix",SUMIF('High_Low Voltage Mix Summary'!$B$10:$B$17,$B341,'High_Low Voltage Mix Summary'!$D$10:$D$17),""))</f>
        <v/>
      </c>
      <c r="W491" s="44" t="str">
        <f>IF($P491="Low",$S491,IF($P491="Mix",SUMIF('High_Low Voltage Mix Summary'!$B$10:$B$17,$B341,'High_Low Voltage Mix Summary'!$E$10:$E$17),""))</f>
        <v/>
      </c>
      <c r="X491" s="44" t="str">
        <f>IF($P491="High",$T491,IF($P491="Mix",SUMIF('High_Low Voltage Mix Summary'!$B$10:$B$17,$B341,'High_Low Voltage Mix Summary'!$F$10:$F$17),""))</f>
        <v/>
      </c>
      <c r="Y491" s="44" t="str">
        <f>IF($P491="Low",$T491,IF($P491="Mix",SUMIF('High_Low Voltage Mix Summary'!$B$10:$B$17,$B341,'High_Low Voltage Mix Summary'!$G$10:$G$17),""))</f>
        <v/>
      </c>
      <c r="Z491" s="44" t="str">
        <f>IF(OR($P491="High",$P491="Low"),"",IF($P491="Mix",SUMIF('High_Low Voltage Mix Summary'!$B$10:$B$17,$B341,'High_Low Voltage Mix Summary'!$H$10:$H$17),""))</f>
        <v/>
      </c>
      <c r="AB491" s="49">
        <f>SUMIF('Antelope Bailey Split BA'!$B$7:$B$29,B491,'Antelope Bailey Split BA'!$C$7:$C$29)</f>
        <v>0</v>
      </c>
      <c r="AC491" s="49" t="str">
        <f>IF(AND(AB491=1,'Plant Total by Account'!$H$1=2),"EKWRA","")</f>
        <v/>
      </c>
    </row>
    <row r="492" spans="1:29" x14ac:dyDescent="0.2">
      <c r="A492" s="39" t="s">
        <v>3006</v>
      </c>
      <c r="B492" s="45" t="s">
        <v>613</v>
      </c>
      <c r="C492" s="40" t="s">
        <v>3334</v>
      </c>
      <c r="D492" s="53">
        <v>0</v>
      </c>
      <c r="E492" s="53">
        <v>0</v>
      </c>
      <c r="F492" s="53">
        <v>12137.36</v>
      </c>
      <c r="G492" s="578">
        <f t="shared" si="67"/>
        <v>12137.36</v>
      </c>
      <c r="H492" s="41"/>
      <c r="I492" s="41"/>
      <c r="J492" s="41"/>
      <c r="K492" s="41">
        <f t="shared" si="69"/>
        <v>0</v>
      </c>
      <c r="L492" s="41">
        <f t="shared" si="70"/>
        <v>0</v>
      </c>
      <c r="M492" s="41">
        <f t="shared" si="71"/>
        <v>12137.36</v>
      </c>
      <c r="N492" s="363">
        <f t="shared" si="68"/>
        <v>0</v>
      </c>
      <c r="O492" s="43" t="s">
        <v>3309</v>
      </c>
      <c r="P492" s="43"/>
      <c r="R492" s="41">
        <f t="shared" si="64"/>
        <v>0</v>
      </c>
      <c r="S492" s="41">
        <f t="shared" si="65"/>
        <v>0</v>
      </c>
      <c r="T492" s="41">
        <f t="shared" si="66"/>
        <v>0</v>
      </c>
      <c r="U492" s="41"/>
      <c r="V492" s="44" t="str">
        <f>IF($P492="High",$S492,IF($P492="Mix",SUMIF('High_Low Voltage Mix Summary'!$B$10:$B$17,$B342,'High_Low Voltage Mix Summary'!$D$10:$D$17),""))</f>
        <v/>
      </c>
      <c r="W492" s="44" t="str">
        <f>IF($P492="Low",$S492,IF($P492="Mix",SUMIF('High_Low Voltage Mix Summary'!$B$10:$B$17,$B342,'High_Low Voltage Mix Summary'!$E$10:$E$17),""))</f>
        <v/>
      </c>
      <c r="X492" s="44" t="str">
        <f>IF($P492="High",$T492,IF($P492="Mix",SUMIF('High_Low Voltage Mix Summary'!$B$10:$B$17,$B342,'High_Low Voltage Mix Summary'!$F$10:$F$17),""))</f>
        <v/>
      </c>
      <c r="Y492" s="44" t="str">
        <f>IF($P492="Low",$T492,IF($P492="Mix",SUMIF('High_Low Voltage Mix Summary'!$B$10:$B$17,$B342,'High_Low Voltage Mix Summary'!$G$10:$G$17),""))</f>
        <v/>
      </c>
      <c r="Z492" s="44" t="str">
        <f>IF(OR($P492="High",$P492="Low"),"",IF($P492="Mix",SUMIF('High_Low Voltage Mix Summary'!$B$10:$B$17,$B342,'High_Low Voltage Mix Summary'!$H$10:$H$17),""))</f>
        <v/>
      </c>
      <c r="AB492" s="49">
        <f>SUMIF('Antelope Bailey Split BA'!$B$7:$B$29,B492,'Antelope Bailey Split BA'!$C$7:$C$29)</f>
        <v>0</v>
      </c>
      <c r="AC492" s="49" t="str">
        <f>IF(AND(AB492=1,'Plant Total by Account'!$H$1=2),"EKWRA","")</f>
        <v/>
      </c>
    </row>
    <row r="493" spans="1:29" x14ac:dyDescent="0.2">
      <c r="A493" s="39" t="s">
        <v>3007</v>
      </c>
      <c r="B493" s="45" t="s">
        <v>614</v>
      </c>
      <c r="C493" s="40" t="s">
        <v>3334</v>
      </c>
      <c r="D493" s="53">
        <v>0</v>
      </c>
      <c r="E493" s="53">
        <v>9269.44</v>
      </c>
      <c r="F493" s="53">
        <v>96302.690000000017</v>
      </c>
      <c r="G493" s="578">
        <f t="shared" si="67"/>
        <v>105572.13000000002</v>
      </c>
      <c r="H493" s="41"/>
      <c r="I493" s="41"/>
      <c r="J493" s="41"/>
      <c r="K493" s="41">
        <f t="shared" si="69"/>
        <v>0</v>
      </c>
      <c r="L493" s="41">
        <f t="shared" si="70"/>
        <v>9269.44</v>
      </c>
      <c r="M493" s="41">
        <f t="shared" si="71"/>
        <v>96302.690000000017</v>
      </c>
      <c r="N493" s="363">
        <f t="shared" si="68"/>
        <v>0</v>
      </c>
      <c r="O493" s="43" t="s">
        <v>3309</v>
      </c>
      <c r="P493" s="43"/>
      <c r="R493" s="41">
        <f t="shared" si="64"/>
        <v>0</v>
      </c>
      <c r="S493" s="41">
        <f t="shared" si="65"/>
        <v>0</v>
      </c>
      <c r="T493" s="41">
        <f t="shared" si="66"/>
        <v>0</v>
      </c>
      <c r="U493" s="41"/>
      <c r="V493" s="44" t="str">
        <f>IF($P493="High",$S493,IF($P493="Mix",SUMIF('High_Low Voltage Mix Summary'!$B$10:$B$17,$B343,'High_Low Voltage Mix Summary'!$D$10:$D$17),""))</f>
        <v/>
      </c>
      <c r="W493" s="44" t="str">
        <f>IF($P493="Low",$S493,IF($P493="Mix",SUMIF('High_Low Voltage Mix Summary'!$B$10:$B$17,$B343,'High_Low Voltage Mix Summary'!$E$10:$E$17),""))</f>
        <v/>
      </c>
      <c r="X493" s="44" t="str">
        <f>IF($P493="High",$T493,IF($P493="Mix",SUMIF('High_Low Voltage Mix Summary'!$B$10:$B$17,$B343,'High_Low Voltage Mix Summary'!$F$10:$F$17),""))</f>
        <v/>
      </c>
      <c r="Y493" s="44" t="str">
        <f>IF($P493="Low",$T493,IF($P493="Mix",SUMIF('High_Low Voltage Mix Summary'!$B$10:$B$17,$B343,'High_Low Voltage Mix Summary'!$G$10:$G$17),""))</f>
        <v/>
      </c>
      <c r="Z493" s="44" t="str">
        <f>IF(OR($P493="High",$P493="Low"),"",IF($P493="Mix",SUMIF('High_Low Voltage Mix Summary'!$B$10:$B$17,$B343,'High_Low Voltage Mix Summary'!$H$10:$H$17),""))</f>
        <v/>
      </c>
      <c r="AB493" s="49">
        <f>SUMIF('Antelope Bailey Split BA'!$B$7:$B$29,B493,'Antelope Bailey Split BA'!$C$7:$C$29)</f>
        <v>0</v>
      </c>
      <c r="AC493" s="49" t="str">
        <f>IF(AND(AB493=1,'Plant Total by Account'!$H$1=2),"EKWRA","")</f>
        <v/>
      </c>
    </row>
    <row r="494" spans="1:29" x14ac:dyDescent="0.2">
      <c r="A494" s="39" t="s">
        <v>3008</v>
      </c>
      <c r="B494" s="45" t="s">
        <v>615</v>
      </c>
      <c r="C494" s="40" t="s">
        <v>3334</v>
      </c>
      <c r="D494" s="53">
        <v>0</v>
      </c>
      <c r="E494" s="53">
        <v>1332.79</v>
      </c>
      <c r="F494" s="53">
        <v>302875.57</v>
      </c>
      <c r="G494" s="578">
        <f t="shared" si="67"/>
        <v>304208.36</v>
      </c>
      <c r="H494" s="41"/>
      <c r="I494" s="41"/>
      <c r="J494" s="41"/>
      <c r="K494" s="41">
        <f t="shared" si="69"/>
        <v>0</v>
      </c>
      <c r="L494" s="41">
        <f t="shared" si="70"/>
        <v>1332.79</v>
      </c>
      <c r="M494" s="41">
        <f t="shared" si="71"/>
        <v>302875.57</v>
      </c>
      <c r="N494" s="363">
        <f t="shared" si="68"/>
        <v>0</v>
      </c>
      <c r="O494" s="43" t="s">
        <v>3309</v>
      </c>
      <c r="P494" s="43"/>
      <c r="R494" s="41">
        <f t="shared" si="64"/>
        <v>0</v>
      </c>
      <c r="S494" s="41">
        <f t="shared" si="65"/>
        <v>0</v>
      </c>
      <c r="T494" s="41">
        <f t="shared" si="66"/>
        <v>0</v>
      </c>
      <c r="U494" s="41"/>
      <c r="V494" s="44" t="str">
        <f>IF($P494="High",$S494,IF($P494="Mix",SUMIF('High_Low Voltage Mix Summary'!$B$10:$B$17,$B344,'High_Low Voltage Mix Summary'!$D$10:$D$17),""))</f>
        <v/>
      </c>
      <c r="W494" s="44" t="str">
        <f>IF($P494="Low",$S494,IF($P494="Mix",SUMIF('High_Low Voltage Mix Summary'!$B$10:$B$17,$B344,'High_Low Voltage Mix Summary'!$E$10:$E$17),""))</f>
        <v/>
      </c>
      <c r="X494" s="44" t="str">
        <f>IF($P494="High",$T494,IF($P494="Mix",SUMIF('High_Low Voltage Mix Summary'!$B$10:$B$17,$B344,'High_Low Voltage Mix Summary'!$F$10:$F$17),""))</f>
        <v/>
      </c>
      <c r="Y494" s="44" t="str">
        <f>IF($P494="Low",$T494,IF($P494="Mix",SUMIF('High_Low Voltage Mix Summary'!$B$10:$B$17,$B344,'High_Low Voltage Mix Summary'!$G$10:$G$17),""))</f>
        <v/>
      </c>
      <c r="Z494" s="44" t="str">
        <f>IF(OR($P494="High",$P494="Low"),"",IF($P494="Mix",SUMIF('High_Low Voltage Mix Summary'!$B$10:$B$17,$B344,'High_Low Voltage Mix Summary'!$H$10:$H$17),""))</f>
        <v/>
      </c>
      <c r="AB494" s="49">
        <f>SUMIF('Antelope Bailey Split BA'!$B$7:$B$29,B494,'Antelope Bailey Split BA'!$C$7:$C$29)</f>
        <v>0</v>
      </c>
      <c r="AC494" s="49" t="str">
        <f>IF(AND(AB494=1,'Plant Total by Account'!$H$1=2),"EKWRA","")</f>
        <v/>
      </c>
    </row>
    <row r="495" spans="1:29" x14ac:dyDescent="0.2">
      <c r="A495" s="39" t="s">
        <v>3009</v>
      </c>
      <c r="B495" s="45" t="s">
        <v>616</v>
      </c>
      <c r="C495" s="40" t="s">
        <v>3334</v>
      </c>
      <c r="D495" s="53">
        <v>333364.08</v>
      </c>
      <c r="E495" s="53">
        <v>623975.77</v>
      </c>
      <c r="F495" s="53">
        <v>5014653.8900000006</v>
      </c>
      <c r="G495" s="578">
        <f t="shared" si="67"/>
        <v>5971993.7400000002</v>
      </c>
      <c r="H495" s="41"/>
      <c r="I495" s="41"/>
      <c r="J495" s="41"/>
      <c r="K495" s="41">
        <f t="shared" si="69"/>
        <v>333364.08</v>
      </c>
      <c r="L495" s="41">
        <f t="shared" si="70"/>
        <v>623975.77</v>
      </c>
      <c r="M495" s="41">
        <f t="shared" si="71"/>
        <v>5014653.8900000006</v>
      </c>
      <c r="N495" s="363">
        <f t="shared" si="68"/>
        <v>0</v>
      </c>
      <c r="O495" s="43" t="s">
        <v>3309</v>
      </c>
      <c r="P495" s="43"/>
      <c r="R495" s="41">
        <f t="shared" si="64"/>
        <v>0</v>
      </c>
      <c r="S495" s="41">
        <f t="shared" si="65"/>
        <v>0</v>
      </c>
      <c r="T495" s="41">
        <f t="shared" si="66"/>
        <v>0</v>
      </c>
      <c r="U495" s="41"/>
      <c r="V495" s="44" t="str">
        <f>IF($P495="High",$S495,IF($P495="Mix",SUMIF('High_Low Voltage Mix Summary'!$B$10:$B$17,$B345,'High_Low Voltage Mix Summary'!$D$10:$D$17),""))</f>
        <v/>
      </c>
      <c r="W495" s="44" t="str">
        <f>IF($P495="Low",$S495,IF($P495="Mix",SUMIF('High_Low Voltage Mix Summary'!$B$10:$B$17,$B345,'High_Low Voltage Mix Summary'!$E$10:$E$17),""))</f>
        <v/>
      </c>
      <c r="X495" s="44" t="str">
        <f>IF($P495="High",$T495,IF($P495="Mix",SUMIF('High_Low Voltage Mix Summary'!$B$10:$B$17,$B345,'High_Low Voltage Mix Summary'!$F$10:$F$17),""))</f>
        <v/>
      </c>
      <c r="Y495" s="44" t="str">
        <f>IF($P495="Low",$T495,IF($P495="Mix",SUMIF('High_Low Voltage Mix Summary'!$B$10:$B$17,$B345,'High_Low Voltage Mix Summary'!$G$10:$G$17),""))</f>
        <v/>
      </c>
      <c r="Z495" s="44" t="str">
        <f>IF(OR($P495="High",$P495="Low"),"",IF($P495="Mix",SUMIF('High_Low Voltage Mix Summary'!$B$10:$B$17,$B345,'High_Low Voltage Mix Summary'!$H$10:$H$17),""))</f>
        <v/>
      </c>
      <c r="AB495" s="49">
        <f>SUMIF('Antelope Bailey Split BA'!$B$7:$B$29,B495,'Antelope Bailey Split BA'!$C$7:$C$29)</f>
        <v>0</v>
      </c>
      <c r="AC495" s="49" t="str">
        <f>IF(AND(AB495=1,'Plant Total by Account'!$H$1=2),"EKWRA","")</f>
        <v/>
      </c>
    </row>
    <row r="496" spans="1:29" x14ac:dyDescent="0.2">
      <c r="A496" s="39" t="s">
        <v>3010</v>
      </c>
      <c r="B496" s="45" t="s">
        <v>617</v>
      </c>
      <c r="C496" s="40" t="s">
        <v>3334</v>
      </c>
      <c r="D496" s="53">
        <v>9231.81</v>
      </c>
      <c r="E496" s="53">
        <v>12621.43</v>
      </c>
      <c r="F496" s="53">
        <v>243308.68</v>
      </c>
      <c r="G496" s="578">
        <f t="shared" si="67"/>
        <v>265161.92</v>
      </c>
      <c r="H496" s="41"/>
      <c r="I496" s="41"/>
      <c r="J496" s="41"/>
      <c r="K496" s="41">
        <f t="shared" si="69"/>
        <v>9231.81</v>
      </c>
      <c r="L496" s="41">
        <f t="shared" si="70"/>
        <v>12621.43</v>
      </c>
      <c r="M496" s="41">
        <f t="shared" si="71"/>
        <v>243308.68</v>
      </c>
      <c r="N496" s="363">
        <f t="shared" si="68"/>
        <v>0</v>
      </c>
      <c r="O496" s="43" t="s">
        <v>3309</v>
      </c>
      <c r="P496" s="43"/>
      <c r="R496" s="41">
        <f t="shared" si="64"/>
        <v>0</v>
      </c>
      <c r="S496" s="41">
        <f t="shared" si="65"/>
        <v>0</v>
      </c>
      <c r="T496" s="41">
        <f t="shared" si="66"/>
        <v>0</v>
      </c>
      <c r="U496" s="41"/>
      <c r="V496" s="44" t="str">
        <f>IF($P496="High",$S496,IF($P496="Mix",SUMIF('High_Low Voltage Mix Summary'!$B$10:$B$17,$B346,'High_Low Voltage Mix Summary'!$D$10:$D$17),""))</f>
        <v/>
      </c>
      <c r="W496" s="44" t="str">
        <f>IF($P496="Low",$S496,IF($P496="Mix",SUMIF('High_Low Voltage Mix Summary'!$B$10:$B$17,$B346,'High_Low Voltage Mix Summary'!$E$10:$E$17),""))</f>
        <v/>
      </c>
      <c r="X496" s="44" t="str">
        <f>IF($P496="High",$T496,IF($P496="Mix",SUMIF('High_Low Voltage Mix Summary'!$B$10:$B$17,$B346,'High_Low Voltage Mix Summary'!$F$10:$F$17),""))</f>
        <v/>
      </c>
      <c r="Y496" s="44" t="str">
        <f>IF($P496="Low",$T496,IF($P496="Mix",SUMIF('High_Low Voltage Mix Summary'!$B$10:$B$17,$B346,'High_Low Voltage Mix Summary'!$G$10:$G$17),""))</f>
        <v/>
      </c>
      <c r="Z496" s="44" t="str">
        <f>IF(OR($P496="High",$P496="Low"),"",IF($P496="Mix",SUMIF('High_Low Voltage Mix Summary'!$B$10:$B$17,$B346,'High_Low Voltage Mix Summary'!$H$10:$H$17),""))</f>
        <v/>
      </c>
      <c r="AB496" s="49">
        <f>SUMIF('Antelope Bailey Split BA'!$B$7:$B$29,B496,'Antelope Bailey Split BA'!$C$7:$C$29)</f>
        <v>0</v>
      </c>
      <c r="AC496" s="49" t="str">
        <f>IF(AND(AB496=1,'Plant Total by Account'!$H$1=2),"EKWRA","")</f>
        <v/>
      </c>
    </row>
    <row r="497" spans="1:29" x14ac:dyDescent="0.2">
      <c r="A497" s="39" t="s">
        <v>3011</v>
      </c>
      <c r="B497" s="45" t="s">
        <v>618</v>
      </c>
      <c r="C497" s="40" t="s">
        <v>3334</v>
      </c>
      <c r="D497" s="53">
        <v>0</v>
      </c>
      <c r="E497" s="53">
        <v>1946.23</v>
      </c>
      <c r="F497" s="53">
        <v>0</v>
      </c>
      <c r="G497" s="578">
        <f t="shared" si="67"/>
        <v>1946.23</v>
      </c>
      <c r="H497" s="41"/>
      <c r="I497" s="41"/>
      <c r="J497" s="41"/>
      <c r="K497" s="41">
        <f t="shared" si="69"/>
        <v>0</v>
      </c>
      <c r="L497" s="41">
        <f t="shared" si="70"/>
        <v>1946.23</v>
      </c>
      <c r="M497" s="41">
        <f t="shared" si="71"/>
        <v>0</v>
      </c>
      <c r="N497" s="363">
        <f t="shared" si="68"/>
        <v>0</v>
      </c>
      <c r="O497" s="43" t="s">
        <v>3309</v>
      </c>
      <c r="P497" s="43"/>
      <c r="R497" s="41">
        <f t="shared" si="64"/>
        <v>0</v>
      </c>
      <c r="S497" s="41">
        <f t="shared" si="65"/>
        <v>0</v>
      </c>
      <c r="T497" s="41">
        <f t="shared" si="66"/>
        <v>0</v>
      </c>
      <c r="U497" s="41"/>
      <c r="V497" s="44" t="str">
        <f>IF($P497="High",$S497,IF($P497="Mix",SUMIF('High_Low Voltage Mix Summary'!$B$10:$B$17,$B348,'High_Low Voltage Mix Summary'!$D$10:$D$17),""))</f>
        <v/>
      </c>
      <c r="W497" s="44" t="str">
        <f>IF($P497="Low",$S497,IF($P497="Mix",SUMIF('High_Low Voltage Mix Summary'!$B$10:$B$17,$B348,'High_Low Voltage Mix Summary'!$E$10:$E$17),""))</f>
        <v/>
      </c>
      <c r="X497" s="44" t="str">
        <f>IF($P497="High",$T497,IF($P497="Mix",SUMIF('High_Low Voltage Mix Summary'!$B$10:$B$17,$B348,'High_Low Voltage Mix Summary'!$F$10:$F$17),""))</f>
        <v/>
      </c>
      <c r="Y497" s="44" t="str">
        <f>IF($P497="Low",$T497,IF($P497="Mix",SUMIF('High_Low Voltage Mix Summary'!$B$10:$B$17,$B348,'High_Low Voltage Mix Summary'!$G$10:$G$17),""))</f>
        <v/>
      </c>
      <c r="Z497" s="44" t="str">
        <f>IF(OR($P497="High",$P497="Low"),"",IF($P497="Mix",SUMIF('High_Low Voltage Mix Summary'!$B$10:$B$17,$B348,'High_Low Voltage Mix Summary'!$H$10:$H$17),""))</f>
        <v/>
      </c>
      <c r="AB497" s="49">
        <f>SUMIF('Antelope Bailey Split BA'!$B$7:$B$29,B497,'Antelope Bailey Split BA'!$C$7:$C$29)</f>
        <v>0</v>
      </c>
      <c r="AC497" s="49" t="str">
        <f>IF(AND(AB497=1,'Plant Total by Account'!$H$1=2),"EKWRA","")</f>
        <v/>
      </c>
    </row>
    <row r="498" spans="1:29" x14ac:dyDescent="0.2">
      <c r="A498" s="39" t="s">
        <v>3012</v>
      </c>
      <c r="B498" s="45" t="s">
        <v>619</v>
      </c>
      <c r="C498" s="40" t="s">
        <v>3334</v>
      </c>
      <c r="D498" s="53">
        <v>4231.6400000000003</v>
      </c>
      <c r="E498" s="53">
        <v>6443.99</v>
      </c>
      <c r="F498" s="53">
        <v>837403.35000000009</v>
      </c>
      <c r="G498" s="578">
        <f t="shared" si="67"/>
        <v>848078.9800000001</v>
      </c>
      <c r="H498" s="41"/>
      <c r="I498" s="41"/>
      <c r="J498" s="41"/>
      <c r="K498" s="41">
        <f t="shared" si="69"/>
        <v>4231.6400000000003</v>
      </c>
      <c r="L498" s="41">
        <f t="shared" si="70"/>
        <v>6443.99</v>
      </c>
      <c r="M498" s="41">
        <f t="shared" si="71"/>
        <v>837403.35000000009</v>
      </c>
      <c r="N498" s="363">
        <f t="shared" si="68"/>
        <v>0</v>
      </c>
      <c r="O498" s="43" t="s">
        <v>3309</v>
      </c>
      <c r="P498" s="43"/>
      <c r="R498" s="41">
        <f t="shared" si="64"/>
        <v>0</v>
      </c>
      <c r="S498" s="41">
        <f t="shared" si="65"/>
        <v>0</v>
      </c>
      <c r="T498" s="41">
        <f t="shared" si="66"/>
        <v>0</v>
      </c>
      <c r="U498" s="41"/>
      <c r="V498" s="44" t="str">
        <f>IF($P498="High",$S498,IF($P498="Mix",SUMIF('High_Low Voltage Mix Summary'!$B$10:$B$17,$B349,'High_Low Voltage Mix Summary'!$D$10:$D$17),""))</f>
        <v/>
      </c>
      <c r="W498" s="44" t="str">
        <f>IF($P498="Low",$S498,IF($P498="Mix",SUMIF('High_Low Voltage Mix Summary'!$B$10:$B$17,$B349,'High_Low Voltage Mix Summary'!$E$10:$E$17),""))</f>
        <v/>
      </c>
      <c r="X498" s="44" t="str">
        <f>IF($P498="High",$T498,IF($P498="Mix",SUMIF('High_Low Voltage Mix Summary'!$B$10:$B$17,$B349,'High_Low Voltage Mix Summary'!$F$10:$F$17),""))</f>
        <v/>
      </c>
      <c r="Y498" s="44" t="str">
        <f>IF($P498="Low",$T498,IF($P498="Mix",SUMIF('High_Low Voltage Mix Summary'!$B$10:$B$17,$B349,'High_Low Voltage Mix Summary'!$G$10:$G$17),""))</f>
        <v/>
      </c>
      <c r="Z498" s="44" t="str">
        <f>IF(OR($P498="High",$P498="Low"),"",IF($P498="Mix",SUMIF('High_Low Voltage Mix Summary'!$B$10:$B$17,$B349,'High_Low Voltage Mix Summary'!$H$10:$H$17),""))</f>
        <v/>
      </c>
      <c r="AB498" s="49">
        <f>SUMIF('Antelope Bailey Split BA'!$B$7:$B$29,B498,'Antelope Bailey Split BA'!$C$7:$C$29)</f>
        <v>0</v>
      </c>
      <c r="AC498" s="49" t="str">
        <f>IF(AND(AB498=1,'Plant Total by Account'!$H$1=2),"EKWRA","")</f>
        <v/>
      </c>
    </row>
    <row r="499" spans="1:29" x14ac:dyDescent="0.2">
      <c r="A499" s="39" t="s">
        <v>3013</v>
      </c>
      <c r="B499" s="45" t="s">
        <v>620</v>
      </c>
      <c r="C499" s="40" t="s">
        <v>3334</v>
      </c>
      <c r="D499" s="53">
        <v>28833.25</v>
      </c>
      <c r="E499" s="53">
        <v>4829.1499999999996</v>
      </c>
      <c r="F499" s="53">
        <v>652270.28000000014</v>
      </c>
      <c r="G499" s="578">
        <f t="shared" si="67"/>
        <v>685932.68000000017</v>
      </c>
      <c r="H499" s="41"/>
      <c r="I499" s="41"/>
      <c r="J499" s="41"/>
      <c r="K499" s="41">
        <f t="shared" si="69"/>
        <v>28833.25</v>
      </c>
      <c r="L499" s="41">
        <f t="shared" si="70"/>
        <v>4829.1499999999996</v>
      </c>
      <c r="M499" s="41">
        <f t="shared" si="71"/>
        <v>652270.28000000014</v>
      </c>
      <c r="N499" s="363">
        <f t="shared" si="68"/>
        <v>0</v>
      </c>
      <c r="O499" s="43" t="s">
        <v>3309</v>
      </c>
      <c r="P499" s="43"/>
      <c r="R499" s="41">
        <f t="shared" si="64"/>
        <v>0</v>
      </c>
      <c r="S499" s="41">
        <f t="shared" si="65"/>
        <v>0</v>
      </c>
      <c r="T499" s="41">
        <f t="shared" si="66"/>
        <v>0</v>
      </c>
      <c r="U499" s="41"/>
      <c r="V499" s="44" t="str">
        <f>IF($P499="High",$S499,IF($P499="Mix",SUMIF('High_Low Voltage Mix Summary'!$B$10:$B$17,$B352,'High_Low Voltage Mix Summary'!$D$10:$D$17),""))</f>
        <v/>
      </c>
      <c r="W499" s="44" t="str">
        <f>IF($P499="Low",$S499,IF($P499="Mix",SUMIF('High_Low Voltage Mix Summary'!$B$10:$B$17,$B352,'High_Low Voltage Mix Summary'!$E$10:$E$17),""))</f>
        <v/>
      </c>
      <c r="X499" s="44" t="str">
        <f>IF($P499="High",$T499,IF($P499="Mix",SUMIF('High_Low Voltage Mix Summary'!$B$10:$B$17,$B352,'High_Low Voltage Mix Summary'!$F$10:$F$17),""))</f>
        <v/>
      </c>
      <c r="Y499" s="44" t="str">
        <f>IF($P499="Low",$T499,IF($P499="Mix",SUMIF('High_Low Voltage Mix Summary'!$B$10:$B$17,$B352,'High_Low Voltage Mix Summary'!$G$10:$G$17),""))</f>
        <v/>
      </c>
      <c r="Z499" s="44" t="str">
        <f>IF(OR($P499="High",$P499="Low"),"",IF($P499="Mix",SUMIF('High_Low Voltage Mix Summary'!$B$10:$B$17,$B352,'High_Low Voltage Mix Summary'!$H$10:$H$17),""))</f>
        <v/>
      </c>
      <c r="AB499" s="49">
        <f>SUMIF('Antelope Bailey Split BA'!$B$7:$B$29,B499,'Antelope Bailey Split BA'!$C$7:$C$29)</f>
        <v>0</v>
      </c>
      <c r="AC499" s="49" t="str">
        <f>IF(AND(AB499=1,'Plant Total by Account'!$H$1=2),"EKWRA","")</f>
        <v/>
      </c>
    </row>
    <row r="500" spans="1:29" x14ac:dyDescent="0.2">
      <c r="A500" s="39" t="s">
        <v>3014</v>
      </c>
      <c r="B500" s="45" t="s">
        <v>621</v>
      </c>
      <c r="C500" s="40" t="s">
        <v>3334</v>
      </c>
      <c r="D500" s="53">
        <v>0</v>
      </c>
      <c r="E500" s="53">
        <v>13172.08</v>
      </c>
      <c r="F500" s="53">
        <v>891246.66000000015</v>
      </c>
      <c r="G500" s="578">
        <f t="shared" si="67"/>
        <v>904418.74000000011</v>
      </c>
      <c r="H500" s="41"/>
      <c r="I500" s="41"/>
      <c r="J500" s="41"/>
      <c r="K500" s="41">
        <f t="shared" si="69"/>
        <v>0</v>
      </c>
      <c r="L500" s="41">
        <f t="shared" si="70"/>
        <v>13172.08</v>
      </c>
      <c r="M500" s="41">
        <f t="shared" si="71"/>
        <v>891246.66000000015</v>
      </c>
      <c r="N500" s="363">
        <f t="shared" si="68"/>
        <v>0</v>
      </c>
      <c r="O500" s="43" t="s">
        <v>3309</v>
      </c>
      <c r="P500" s="43"/>
      <c r="R500" s="41">
        <f t="shared" si="64"/>
        <v>0</v>
      </c>
      <c r="S500" s="41">
        <f t="shared" si="65"/>
        <v>0</v>
      </c>
      <c r="T500" s="41">
        <f t="shared" si="66"/>
        <v>0</v>
      </c>
      <c r="U500" s="41"/>
      <c r="V500" s="44" t="str">
        <f>IF($P500="High",$S500,IF($P500="Mix",SUMIF('High_Low Voltage Mix Summary'!$B$10:$B$17,$B353,'High_Low Voltage Mix Summary'!$D$10:$D$17),""))</f>
        <v/>
      </c>
      <c r="W500" s="44" t="str">
        <f>IF($P500="Low",$S500,IF($P500="Mix",SUMIF('High_Low Voltage Mix Summary'!$B$10:$B$17,$B353,'High_Low Voltage Mix Summary'!$E$10:$E$17),""))</f>
        <v/>
      </c>
      <c r="X500" s="44" t="str">
        <f>IF($P500="High",$T500,IF($P500="Mix",SUMIF('High_Low Voltage Mix Summary'!$B$10:$B$17,$B353,'High_Low Voltage Mix Summary'!$F$10:$F$17),""))</f>
        <v/>
      </c>
      <c r="Y500" s="44" t="str">
        <f>IF($P500="Low",$T500,IF($P500="Mix",SUMIF('High_Low Voltage Mix Summary'!$B$10:$B$17,$B353,'High_Low Voltage Mix Summary'!$G$10:$G$17),""))</f>
        <v/>
      </c>
      <c r="Z500" s="44" t="str">
        <f>IF(OR($P500="High",$P500="Low"),"",IF($P500="Mix",SUMIF('High_Low Voltage Mix Summary'!$B$10:$B$17,$B353,'High_Low Voltage Mix Summary'!$H$10:$H$17),""))</f>
        <v/>
      </c>
      <c r="AB500" s="49">
        <f>SUMIF('Antelope Bailey Split BA'!$B$7:$B$29,B500,'Antelope Bailey Split BA'!$C$7:$C$29)</f>
        <v>0</v>
      </c>
      <c r="AC500" s="49" t="str">
        <f>IF(AND(AB500=1,'Plant Total by Account'!$H$1=2),"EKWRA","")</f>
        <v/>
      </c>
    </row>
    <row r="501" spans="1:29" x14ac:dyDescent="0.2">
      <c r="A501" s="39" t="s">
        <v>3015</v>
      </c>
      <c r="B501" s="45" t="s">
        <v>622</v>
      </c>
      <c r="C501" s="40" t="s">
        <v>3334</v>
      </c>
      <c r="D501" s="53">
        <v>0</v>
      </c>
      <c r="E501" s="53">
        <v>43118.75</v>
      </c>
      <c r="F501" s="53">
        <v>1001174.21</v>
      </c>
      <c r="G501" s="578">
        <f t="shared" si="67"/>
        <v>1044292.96</v>
      </c>
      <c r="H501" s="41"/>
      <c r="I501" s="41"/>
      <c r="J501" s="41"/>
      <c r="K501" s="41">
        <f t="shared" si="69"/>
        <v>0</v>
      </c>
      <c r="L501" s="41">
        <f t="shared" si="70"/>
        <v>43118.75</v>
      </c>
      <c r="M501" s="41">
        <f t="shared" si="71"/>
        <v>1001174.21</v>
      </c>
      <c r="N501" s="363">
        <f t="shared" si="68"/>
        <v>0</v>
      </c>
      <c r="O501" s="43" t="s">
        <v>3309</v>
      </c>
      <c r="P501" s="43"/>
      <c r="R501" s="41">
        <f t="shared" si="64"/>
        <v>0</v>
      </c>
      <c r="S501" s="41">
        <f t="shared" si="65"/>
        <v>0</v>
      </c>
      <c r="T501" s="41">
        <f t="shared" si="66"/>
        <v>0</v>
      </c>
      <c r="U501" s="41"/>
      <c r="V501" s="44" t="str">
        <f>IF($P501="High",$S501,IF($P501="Mix",SUMIF('High_Low Voltage Mix Summary'!$B$10:$B$17,$B354,'High_Low Voltage Mix Summary'!$D$10:$D$17),""))</f>
        <v/>
      </c>
      <c r="W501" s="44" t="str">
        <f>IF($P501="Low",$S501,IF($P501="Mix",SUMIF('High_Low Voltage Mix Summary'!$B$10:$B$17,$B354,'High_Low Voltage Mix Summary'!$E$10:$E$17),""))</f>
        <v/>
      </c>
      <c r="X501" s="44" t="str">
        <f>IF($P501="High",$T501,IF($P501="Mix",SUMIF('High_Low Voltage Mix Summary'!$B$10:$B$17,$B354,'High_Low Voltage Mix Summary'!$F$10:$F$17),""))</f>
        <v/>
      </c>
      <c r="Y501" s="44" t="str">
        <f>IF($P501="Low",$T501,IF($P501="Mix",SUMIF('High_Low Voltage Mix Summary'!$B$10:$B$17,$B354,'High_Low Voltage Mix Summary'!$G$10:$G$17),""))</f>
        <v/>
      </c>
      <c r="Z501" s="44" t="str">
        <f>IF(OR($P501="High",$P501="Low"),"",IF($P501="Mix",SUMIF('High_Low Voltage Mix Summary'!$B$10:$B$17,$B354,'High_Low Voltage Mix Summary'!$H$10:$H$17),""))</f>
        <v/>
      </c>
      <c r="AB501" s="49">
        <f>SUMIF('Antelope Bailey Split BA'!$B$7:$B$29,B501,'Antelope Bailey Split BA'!$C$7:$C$29)</f>
        <v>0</v>
      </c>
      <c r="AC501" s="49" t="str">
        <f>IF(AND(AB501=1,'Plant Total by Account'!$H$1=2),"EKWRA","")</f>
        <v/>
      </c>
    </row>
    <row r="502" spans="1:29" x14ac:dyDescent="0.2">
      <c r="A502" s="39" t="s">
        <v>3016</v>
      </c>
      <c r="B502" s="45" t="s">
        <v>623</v>
      </c>
      <c r="C502" s="40" t="s">
        <v>3334</v>
      </c>
      <c r="D502" s="53">
        <v>0</v>
      </c>
      <c r="E502" s="53">
        <v>30407.27</v>
      </c>
      <c r="F502" s="53">
        <v>481044.77000000014</v>
      </c>
      <c r="G502" s="578">
        <f t="shared" si="67"/>
        <v>511452.04000000015</v>
      </c>
      <c r="H502" s="41"/>
      <c r="I502" s="41"/>
      <c r="J502" s="41"/>
      <c r="K502" s="41">
        <f t="shared" si="69"/>
        <v>0</v>
      </c>
      <c r="L502" s="41">
        <f t="shared" si="70"/>
        <v>30407.27</v>
      </c>
      <c r="M502" s="41">
        <f t="shared" si="71"/>
        <v>481044.77000000014</v>
      </c>
      <c r="N502" s="363">
        <f t="shared" si="68"/>
        <v>0</v>
      </c>
      <c r="O502" s="43" t="s">
        <v>3309</v>
      </c>
      <c r="P502" s="43"/>
      <c r="R502" s="41">
        <f t="shared" si="64"/>
        <v>0</v>
      </c>
      <c r="S502" s="41">
        <f t="shared" si="65"/>
        <v>0</v>
      </c>
      <c r="T502" s="41">
        <f t="shared" si="66"/>
        <v>0</v>
      </c>
      <c r="U502" s="41"/>
      <c r="V502" s="44" t="str">
        <f>IF($P502="High",$S502,IF($P502="Mix",SUMIF('High_Low Voltage Mix Summary'!$B$10:$B$17,$B356,'High_Low Voltage Mix Summary'!$D$10:$D$17),""))</f>
        <v/>
      </c>
      <c r="W502" s="44" t="str">
        <f>IF($P502="Low",$S502,IF($P502="Mix",SUMIF('High_Low Voltage Mix Summary'!$B$10:$B$17,$B356,'High_Low Voltage Mix Summary'!$E$10:$E$17),""))</f>
        <v/>
      </c>
      <c r="X502" s="44" t="str">
        <f>IF($P502="High",$T502,IF($P502="Mix",SUMIF('High_Low Voltage Mix Summary'!$B$10:$B$17,$B356,'High_Low Voltage Mix Summary'!$F$10:$F$17),""))</f>
        <v/>
      </c>
      <c r="Y502" s="44" t="str">
        <f>IF($P502="Low",$T502,IF($P502="Mix",SUMIF('High_Low Voltage Mix Summary'!$B$10:$B$17,$B356,'High_Low Voltage Mix Summary'!$G$10:$G$17),""))</f>
        <v/>
      </c>
      <c r="Z502" s="44" t="str">
        <f>IF(OR($P502="High",$P502="Low"),"",IF($P502="Mix",SUMIF('High_Low Voltage Mix Summary'!$B$10:$B$17,$B356,'High_Low Voltage Mix Summary'!$H$10:$H$17),""))</f>
        <v/>
      </c>
      <c r="AB502" s="49">
        <f>SUMIF('Antelope Bailey Split BA'!$B$7:$B$29,B502,'Antelope Bailey Split BA'!$C$7:$C$29)</f>
        <v>0</v>
      </c>
      <c r="AC502" s="49" t="str">
        <f>IF(AND(AB502=1,'Plant Total by Account'!$H$1=2),"EKWRA","")</f>
        <v/>
      </c>
    </row>
    <row r="503" spans="1:29" x14ac:dyDescent="0.2">
      <c r="A503" s="39" t="s">
        <v>3017</v>
      </c>
      <c r="B503" s="45" t="s">
        <v>624</v>
      </c>
      <c r="C503" s="40" t="s">
        <v>3334</v>
      </c>
      <c r="D503" s="53">
        <v>13817.41</v>
      </c>
      <c r="E503" s="53">
        <v>116586.91</v>
      </c>
      <c r="F503" s="53">
        <v>4367765.5599999987</v>
      </c>
      <c r="G503" s="578">
        <f t="shared" si="67"/>
        <v>4498169.879999999</v>
      </c>
      <c r="H503" s="41"/>
      <c r="I503" s="41"/>
      <c r="J503" s="41"/>
      <c r="K503" s="41">
        <f t="shared" si="69"/>
        <v>13817.41</v>
      </c>
      <c r="L503" s="41">
        <f t="shared" si="70"/>
        <v>116586.91</v>
      </c>
      <c r="M503" s="41">
        <f t="shared" si="71"/>
        <v>4367765.5599999987</v>
      </c>
      <c r="N503" s="363">
        <f t="shared" si="68"/>
        <v>0</v>
      </c>
      <c r="O503" s="43" t="s">
        <v>3309</v>
      </c>
      <c r="P503" s="43"/>
      <c r="R503" s="41">
        <f t="shared" si="64"/>
        <v>0</v>
      </c>
      <c r="S503" s="41">
        <f t="shared" si="65"/>
        <v>0</v>
      </c>
      <c r="T503" s="41">
        <f t="shared" si="66"/>
        <v>0</v>
      </c>
      <c r="U503" s="41"/>
      <c r="V503" s="44" t="str">
        <f>IF($P503="High",$S503,IF($P503="Mix",SUMIF('High_Low Voltage Mix Summary'!$B$10:$B$17,$B357,'High_Low Voltage Mix Summary'!$D$10:$D$17),""))</f>
        <v/>
      </c>
      <c r="W503" s="44" t="str">
        <f>IF($P503="Low",$S503,IF($P503="Mix",SUMIF('High_Low Voltage Mix Summary'!$B$10:$B$17,$B357,'High_Low Voltage Mix Summary'!$E$10:$E$17),""))</f>
        <v/>
      </c>
      <c r="X503" s="44" t="str">
        <f>IF($P503="High",$T503,IF($P503="Mix",SUMIF('High_Low Voltage Mix Summary'!$B$10:$B$17,$B357,'High_Low Voltage Mix Summary'!$F$10:$F$17),""))</f>
        <v/>
      </c>
      <c r="Y503" s="44" t="str">
        <f>IF($P503="Low",$T503,IF($P503="Mix",SUMIF('High_Low Voltage Mix Summary'!$B$10:$B$17,$B357,'High_Low Voltage Mix Summary'!$G$10:$G$17),""))</f>
        <v/>
      </c>
      <c r="Z503" s="44" t="str">
        <f>IF(OR($P503="High",$P503="Low"),"",IF($P503="Mix",SUMIF('High_Low Voltage Mix Summary'!$B$10:$B$17,$B357,'High_Low Voltage Mix Summary'!$H$10:$H$17),""))</f>
        <v/>
      </c>
      <c r="AB503" s="49">
        <f>SUMIF('Antelope Bailey Split BA'!$B$7:$B$29,B503,'Antelope Bailey Split BA'!$C$7:$C$29)</f>
        <v>0</v>
      </c>
      <c r="AC503" s="49" t="str">
        <f>IF(AND(AB503=1,'Plant Total by Account'!$H$1=2),"EKWRA","")</f>
        <v/>
      </c>
    </row>
    <row r="504" spans="1:29" x14ac:dyDescent="0.2">
      <c r="A504" s="39" t="s">
        <v>2452</v>
      </c>
      <c r="B504" s="45" t="s">
        <v>625</v>
      </c>
      <c r="C504" s="40" t="s">
        <v>3334</v>
      </c>
      <c r="D504" s="53">
        <v>11548.75</v>
      </c>
      <c r="E504" s="53">
        <v>0</v>
      </c>
      <c r="F504" s="53">
        <v>0</v>
      </c>
      <c r="G504" s="578">
        <f t="shared" si="67"/>
        <v>11548.75</v>
      </c>
      <c r="H504" s="41"/>
      <c r="I504" s="41"/>
      <c r="J504" s="41"/>
      <c r="K504" s="41">
        <f t="shared" si="69"/>
        <v>11548.75</v>
      </c>
      <c r="L504" s="41">
        <f t="shared" si="70"/>
        <v>0</v>
      </c>
      <c r="M504" s="41">
        <f t="shared" si="71"/>
        <v>0</v>
      </c>
      <c r="N504" s="363">
        <f t="shared" si="68"/>
        <v>0</v>
      </c>
      <c r="O504" s="43" t="s">
        <v>3309</v>
      </c>
      <c r="P504" s="43"/>
      <c r="R504" s="41">
        <f t="shared" si="64"/>
        <v>0</v>
      </c>
      <c r="S504" s="41">
        <f t="shared" si="65"/>
        <v>0</v>
      </c>
      <c r="T504" s="41">
        <f t="shared" si="66"/>
        <v>0</v>
      </c>
      <c r="U504" s="41"/>
      <c r="V504" s="44" t="str">
        <f>IF($P504="High",$S504,IF($P504="Mix",SUMIF('High_Low Voltage Mix Summary'!$B$10:$B$17,$B358,'High_Low Voltage Mix Summary'!$D$10:$D$17),""))</f>
        <v/>
      </c>
      <c r="W504" s="44" t="str">
        <f>IF($P504="Low",$S504,IF($P504="Mix",SUMIF('High_Low Voltage Mix Summary'!$B$10:$B$17,$B358,'High_Low Voltage Mix Summary'!$E$10:$E$17),""))</f>
        <v/>
      </c>
      <c r="X504" s="44" t="str">
        <f>IF($P504="High",$T504,IF($P504="Mix",SUMIF('High_Low Voltage Mix Summary'!$B$10:$B$17,$B358,'High_Low Voltage Mix Summary'!$F$10:$F$17),""))</f>
        <v/>
      </c>
      <c r="Y504" s="44" t="str">
        <f>IF($P504="Low",$T504,IF($P504="Mix",SUMIF('High_Low Voltage Mix Summary'!$B$10:$B$17,$B358,'High_Low Voltage Mix Summary'!$G$10:$G$17),""))</f>
        <v/>
      </c>
      <c r="Z504" s="44" t="str">
        <f>IF(OR($P504="High",$P504="Low"),"",IF($P504="Mix",SUMIF('High_Low Voltage Mix Summary'!$B$10:$B$17,$B358,'High_Low Voltage Mix Summary'!$H$10:$H$17),""))</f>
        <v/>
      </c>
      <c r="AB504" s="49">
        <f>SUMIF('Antelope Bailey Split BA'!$B$7:$B$29,B504,'Antelope Bailey Split BA'!$C$7:$C$29)</f>
        <v>0</v>
      </c>
      <c r="AC504" s="49" t="str">
        <f>IF(AND(AB504=1,'Plant Total by Account'!$H$1=2),"EKWRA","")</f>
        <v/>
      </c>
    </row>
    <row r="505" spans="1:29" x14ac:dyDescent="0.2">
      <c r="A505" s="39" t="s">
        <v>3018</v>
      </c>
      <c r="B505" s="45" t="s">
        <v>626</v>
      </c>
      <c r="C505" s="40" t="s">
        <v>3334</v>
      </c>
      <c r="D505" s="53">
        <v>0</v>
      </c>
      <c r="E505" s="53">
        <v>20355.590000000004</v>
      </c>
      <c r="F505" s="53">
        <v>147439.13000000003</v>
      </c>
      <c r="G505" s="578">
        <f t="shared" si="67"/>
        <v>167794.72000000003</v>
      </c>
      <c r="H505" s="41"/>
      <c r="I505" s="41"/>
      <c r="J505" s="41"/>
      <c r="K505" s="41">
        <f t="shared" si="69"/>
        <v>0</v>
      </c>
      <c r="L505" s="41">
        <f t="shared" si="70"/>
        <v>20355.590000000004</v>
      </c>
      <c r="M505" s="41">
        <f t="shared" si="71"/>
        <v>147439.13000000003</v>
      </c>
      <c r="N505" s="363">
        <f t="shared" si="68"/>
        <v>0</v>
      </c>
      <c r="O505" s="43" t="s">
        <v>3309</v>
      </c>
      <c r="P505" s="43"/>
      <c r="R505" s="41">
        <f t="shared" si="64"/>
        <v>0</v>
      </c>
      <c r="S505" s="41">
        <f t="shared" si="65"/>
        <v>0</v>
      </c>
      <c r="T505" s="41">
        <f t="shared" si="66"/>
        <v>0</v>
      </c>
      <c r="U505" s="41"/>
      <c r="V505" s="44" t="str">
        <f>IF($P505="High",$S505,IF($P505="Mix",SUMIF('High_Low Voltage Mix Summary'!$B$10:$B$17,$B359,'High_Low Voltage Mix Summary'!$D$10:$D$17),""))</f>
        <v/>
      </c>
      <c r="W505" s="44" t="str">
        <f>IF($P505="Low",$S505,IF($P505="Mix",SUMIF('High_Low Voltage Mix Summary'!$B$10:$B$17,$B359,'High_Low Voltage Mix Summary'!$E$10:$E$17),""))</f>
        <v/>
      </c>
      <c r="X505" s="44" t="str">
        <f>IF($P505="High",$T505,IF($P505="Mix",SUMIF('High_Low Voltage Mix Summary'!$B$10:$B$17,$B359,'High_Low Voltage Mix Summary'!$F$10:$F$17),""))</f>
        <v/>
      </c>
      <c r="Y505" s="44" t="str">
        <f>IF($P505="Low",$T505,IF($P505="Mix",SUMIF('High_Low Voltage Mix Summary'!$B$10:$B$17,$B359,'High_Low Voltage Mix Summary'!$G$10:$G$17),""))</f>
        <v/>
      </c>
      <c r="Z505" s="44" t="str">
        <f>IF(OR($P505="High",$P505="Low"),"",IF($P505="Mix",SUMIF('High_Low Voltage Mix Summary'!$B$10:$B$17,$B359,'High_Low Voltage Mix Summary'!$H$10:$H$17),""))</f>
        <v/>
      </c>
      <c r="AB505" s="49">
        <f>SUMIF('Antelope Bailey Split BA'!$B$7:$B$29,B505,'Antelope Bailey Split BA'!$C$7:$C$29)</f>
        <v>0</v>
      </c>
      <c r="AC505" s="49" t="str">
        <f>IF(AND(AB505=1,'Plant Total by Account'!$H$1=2),"EKWRA","")</f>
        <v/>
      </c>
    </row>
    <row r="506" spans="1:29" x14ac:dyDescent="0.2">
      <c r="A506" s="39" t="s">
        <v>3019</v>
      </c>
      <c r="B506" s="45" t="s">
        <v>627</v>
      </c>
      <c r="C506" s="40" t="s">
        <v>3334</v>
      </c>
      <c r="D506" s="53">
        <v>0</v>
      </c>
      <c r="E506" s="53">
        <v>9108.65</v>
      </c>
      <c r="F506" s="53">
        <v>1717493.7699999998</v>
      </c>
      <c r="G506" s="578">
        <f t="shared" si="67"/>
        <v>1726602.4199999997</v>
      </c>
      <c r="H506" s="41"/>
      <c r="I506" s="41"/>
      <c r="J506" s="41"/>
      <c r="K506" s="41">
        <f t="shared" si="69"/>
        <v>0</v>
      </c>
      <c r="L506" s="41">
        <f t="shared" si="70"/>
        <v>9108.65</v>
      </c>
      <c r="M506" s="41">
        <f t="shared" si="71"/>
        <v>1717493.7699999998</v>
      </c>
      <c r="N506" s="363">
        <f t="shared" si="68"/>
        <v>0</v>
      </c>
      <c r="O506" s="43" t="s">
        <v>3309</v>
      </c>
      <c r="P506" s="43"/>
      <c r="R506" s="41">
        <f t="shared" si="64"/>
        <v>0</v>
      </c>
      <c r="S506" s="41">
        <f t="shared" si="65"/>
        <v>0</v>
      </c>
      <c r="T506" s="41">
        <f t="shared" si="66"/>
        <v>0</v>
      </c>
      <c r="U506" s="41"/>
      <c r="V506" s="44" t="str">
        <f>IF($P506="High",$S506,IF($P506="Mix",SUMIF('High_Low Voltage Mix Summary'!$B$10:$B$17,$B361,'High_Low Voltage Mix Summary'!$D$10:$D$17),""))</f>
        <v/>
      </c>
      <c r="W506" s="44" t="str">
        <f>IF($P506="Low",$S506,IF($P506="Mix",SUMIF('High_Low Voltage Mix Summary'!$B$10:$B$17,$B361,'High_Low Voltage Mix Summary'!$E$10:$E$17),""))</f>
        <v/>
      </c>
      <c r="X506" s="44" t="str">
        <f>IF($P506="High",$T506,IF($P506="Mix",SUMIF('High_Low Voltage Mix Summary'!$B$10:$B$17,$B361,'High_Low Voltage Mix Summary'!$F$10:$F$17),""))</f>
        <v/>
      </c>
      <c r="Y506" s="44" t="str">
        <f>IF($P506="Low",$T506,IF($P506="Mix",SUMIF('High_Low Voltage Mix Summary'!$B$10:$B$17,$B361,'High_Low Voltage Mix Summary'!$G$10:$G$17),""))</f>
        <v/>
      </c>
      <c r="Z506" s="44" t="str">
        <f>IF(OR($P506="High",$P506="Low"),"",IF($P506="Mix",SUMIF('High_Low Voltage Mix Summary'!$B$10:$B$17,$B361,'High_Low Voltage Mix Summary'!$H$10:$H$17),""))</f>
        <v/>
      </c>
      <c r="AB506" s="49">
        <f>SUMIF('Antelope Bailey Split BA'!$B$7:$B$29,B506,'Antelope Bailey Split BA'!$C$7:$C$29)</f>
        <v>0</v>
      </c>
      <c r="AC506" s="49" t="str">
        <f>IF(AND(AB506=1,'Plant Total by Account'!$H$1=2),"EKWRA","")</f>
        <v/>
      </c>
    </row>
    <row r="507" spans="1:29" x14ac:dyDescent="0.2">
      <c r="A507" s="39" t="s">
        <v>3020</v>
      </c>
      <c r="B507" s="45" t="s">
        <v>628</v>
      </c>
      <c r="C507" s="40" t="s">
        <v>3333</v>
      </c>
      <c r="D507" s="53">
        <v>3741.81</v>
      </c>
      <c r="E507" s="53">
        <v>32085.5</v>
      </c>
      <c r="F507" s="53">
        <v>1565601.2300000004</v>
      </c>
      <c r="G507" s="578">
        <f t="shared" si="67"/>
        <v>1601428.5400000005</v>
      </c>
      <c r="H507" s="41"/>
      <c r="I507" s="41"/>
      <c r="J507" s="41"/>
      <c r="K507" s="41">
        <f t="shared" si="69"/>
        <v>3741.81</v>
      </c>
      <c r="L507" s="41">
        <f t="shared" si="70"/>
        <v>32085.5</v>
      </c>
      <c r="M507" s="41">
        <f t="shared" si="71"/>
        <v>1565601.2300000004</v>
      </c>
      <c r="N507" s="363">
        <f t="shared" si="68"/>
        <v>0</v>
      </c>
      <c r="O507" s="43" t="s">
        <v>3309</v>
      </c>
      <c r="P507" s="43"/>
      <c r="R507" s="41">
        <f t="shared" si="64"/>
        <v>0</v>
      </c>
      <c r="S507" s="41">
        <f t="shared" si="65"/>
        <v>0</v>
      </c>
      <c r="T507" s="41">
        <f t="shared" si="66"/>
        <v>0</v>
      </c>
      <c r="U507" s="41"/>
      <c r="V507" s="44" t="str">
        <f>IF($P507="High",$S507,IF($P507="Mix",SUMIF('High_Low Voltage Mix Summary'!$B$10:$B$17,$B362,'High_Low Voltage Mix Summary'!$D$10:$D$17),""))</f>
        <v/>
      </c>
      <c r="W507" s="44" t="str">
        <f>IF($P507="Low",$S507,IF($P507="Mix",SUMIF('High_Low Voltage Mix Summary'!$B$10:$B$17,$B362,'High_Low Voltage Mix Summary'!$E$10:$E$17),""))</f>
        <v/>
      </c>
      <c r="X507" s="44" t="str">
        <f>IF($P507="High",$T507,IF($P507="Mix",SUMIF('High_Low Voltage Mix Summary'!$B$10:$B$17,$B362,'High_Low Voltage Mix Summary'!$F$10:$F$17),""))</f>
        <v/>
      </c>
      <c r="Y507" s="44" t="str">
        <f>IF($P507="Low",$T507,IF($P507="Mix",SUMIF('High_Low Voltage Mix Summary'!$B$10:$B$17,$B362,'High_Low Voltage Mix Summary'!$G$10:$G$17),""))</f>
        <v/>
      </c>
      <c r="Z507" s="44" t="str">
        <f>IF(OR($P507="High",$P507="Low"),"",IF($P507="Mix",SUMIF('High_Low Voltage Mix Summary'!$B$10:$B$17,$B362,'High_Low Voltage Mix Summary'!$H$10:$H$17),""))</f>
        <v/>
      </c>
      <c r="AB507" s="49">
        <f>SUMIF('Antelope Bailey Split BA'!$B$7:$B$29,B507,'Antelope Bailey Split BA'!$C$7:$C$29)</f>
        <v>0</v>
      </c>
      <c r="AC507" s="49" t="str">
        <f>IF(AND(AB507=1,'Plant Total by Account'!$H$1=2),"EKWRA","")</f>
        <v/>
      </c>
    </row>
    <row r="508" spans="1:29" x14ac:dyDescent="0.2">
      <c r="A508" s="39" t="s">
        <v>3021</v>
      </c>
      <c r="B508" s="45" t="s">
        <v>629</v>
      </c>
      <c r="C508" s="40" t="s">
        <v>3333</v>
      </c>
      <c r="D508" s="53">
        <v>18626.43</v>
      </c>
      <c r="E508" s="53">
        <v>81053.78</v>
      </c>
      <c r="F508" s="53">
        <v>294854.13999999996</v>
      </c>
      <c r="G508" s="578">
        <f t="shared" si="67"/>
        <v>394534.35</v>
      </c>
      <c r="H508" s="41"/>
      <c r="I508" s="41"/>
      <c r="J508" s="41"/>
      <c r="K508" s="41">
        <f t="shared" si="69"/>
        <v>18626.43</v>
      </c>
      <c r="L508" s="41">
        <f t="shared" si="70"/>
        <v>81053.78</v>
      </c>
      <c r="M508" s="41">
        <f t="shared" si="71"/>
        <v>294854.13999999996</v>
      </c>
      <c r="N508" s="363">
        <f t="shared" si="68"/>
        <v>0</v>
      </c>
      <c r="O508" s="43" t="s">
        <v>3309</v>
      </c>
      <c r="P508" s="43"/>
      <c r="R508" s="41">
        <f t="shared" si="64"/>
        <v>0</v>
      </c>
      <c r="S508" s="41">
        <f t="shared" si="65"/>
        <v>0</v>
      </c>
      <c r="T508" s="41">
        <f t="shared" si="66"/>
        <v>0</v>
      </c>
      <c r="U508" s="41"/>
      <c r="V508" s="44" t="str">
        <f>IF($P508="High",$S508,IF($P508="Mix",SUMIF('High_Low Voltage Mix Summary'!$B$10:$B$17,#REF!,'High_Low Voltage Mix Summary'!$D$10:$D$17),""))</f>
        <v/>
      </c>
      <c r="W508" s="44" t="str">
        <f>IF($P508="Low",$S508,IF($P508="Mix",SUMIF('High_Low Voltage Mix Summary'!$B$10:$B$17,#REF!,'High_Low Voltage Mix Summary'!$E$10:$E$17),""))</f>
        <v/>
      </c>
      <c r="X508" s="44" t="str">
        <f>IF($P508="High",$T508,IF($P508="Mix",SUMIF('High_Low Voltage Mix Summary'!$B$10:$B$17,#REF!,'High_Low Voltage Mix Summary'!$F$10:$F$17),""))</f>
        <v/>
      </c>
      <c r="Y508" s="44" t="str">
        <f>IF($P508="Low",$T508,IF($P508="Mix",SUMIF('High_Low Voltage Mix Summary'!$B$10:$B$17,#REF!,'High_Low Voltage Mix Summary'!$G$10:$G$17),""))</f>
        <v/>
      </c>
      <c r="Z508" s="44" t="str">
        <f>IF(OR($P508="High",$P508="Low"),"",IF($P508="Mix",SUMIF('High_Low Voltage Mix Summary'!$B$10:$B$17,#REF!,'High_Low Voltage Mix Summary'!$H$10:$H$17),""))</f>
        <v/>
      </c>
      <c r="AB508" s="49">
        <f>SUMIF('Antelope Bailey Split BA'!$B$7:$B$29,B508,'Antelope Bailey Split BA'!$C$7:$C$29)</f>
        <v>0</v>
      </c>
      <c r="AC508" s="49" t="str">
        <f>IF(AND(AB508=1,'Plant Total by Account'!$H$1=2),"EKWRA","")</f>
        <v/>
      </c>
    </row>
    <row r="509" spans="1:29" x14ac:dyDescent="0.2">
      <c r="A509" s="39" t="s">
        <v>3022</v>
      </c>
      <c r="B509" s="45" t="s">
        <v>630</v>
      </c>
      <c r="C509" s="40" t="s">
        <v>3334</v>
      </c>
      <c r="D509" s="53">
        <v>21181.910000000003</v>
      </c>
      <c r="E509" s="53">
        <v>144012.04</v>
      </c>
      <c r="F509" s="53">
        <v>3343964.6600000006</v>
      </c>
      <c r="G509" s="578">
        <f t="shared" si="67"/>
        <v>3509158.6100000008</v>
      </c>
      <c r="H509" s="41"/>
      <c r="I509" s="41"/>
      <c r="J509" s="41"/>
      <c r="K509" s="41">
        <f t="shared" si="69"/>
        <v>21181.910000000003</v>
      </c>
      <c r="L509" s="41">
        <f t="shared" si="70"/>
        <v>144012.04</v>
      </c>
      <c r="M509" s="41">
        <f t="shared" si="71"/>
        <v>3343964.6600000006</v>
      </c>
      <c r="N509" s="363">
        <f t="shared" si="68"/>
        <v>0</v>
      </c>
      <c r="O509" s="43" t="s">
        <v>3309</v>
      </c>
      <c r="P509" s="43"/>
      <c r="R509" s="41">
        <f t="shared" si="64"/>
        <v>0</v>
      </c>
      <c r="S509" s="41">
        <f t="shared" si="65"/>
        <v>0</v>
      </c>
      <c r="T509" s="41">
        <f t="shared" si="66"/>
        <v>0</v>
      </c>
      <c r="U509" s="41"/>
      <c r="V509" s="44" t="str">
        <f>IF($P509="High",$S509,IF($P509="Mix",SUMIF('High_Low Voltage Mix Summary'!$B$10:$B$17,#REF!,'High_Low Voltage Mix Summary'!$D$10:$D$17),""))</f>
        <v/>
      </c>
      <c r="W509" s="44" t="str">
        <f>IF($P509="Low",$S509,IF($P509="Mix",SUMIF('High_Low Voltage Mix Summary'!$B$10:$B$17,#REF!,'High_Low Voltage Mix Summary'!$E$10:$E$17),""))</f>
        <v/>
      </c>
      <c r="X509" s="44" t="str">
        <f>IF($P509="High",$T509,IF($P509="Mix",SUMIF('High_Low Voltage Mix Summary'!$B$10:$B$17,#REF!,'High_Low Voltage Mix Summary'!$F$10:$F$17),""))</f>
        <v/>
      </c>
      <c r="Y509" s="44" t="str">
        <f>IF($P509="Low",$T509,IF($P509="Mix",SUMIF('High_Low Voltage Mix Summary'!$B$10:$B$17,#REF!,'High_Low Voltage Mix Summary'!$G$10:$G$17),""))</f>
        <v/>
      </c>
      <c r="Z509" s="44" t="str">
        <f>IF(OR($P509="High",$P509="Low"),"",IF($P509="Mix",SUMIF('High_Low Voltage Mix Summary'!$B$10:$B$17,#REF!,'High_Low Voltage Mix Summary'!$H$10:$H$17),""))</f>
        <v/>
      </c>
      <c r="AB509" s="49">
        <f>SUMIF('Antelope Bailey Split BA'!$B$7:$B$29,B509,'Antelope Bailey Split BA'!$C$7:$C$29)</f>
        <v>0</v>
      </c>
      <c r="AC509" s="49" t="str">
        <f>IF(AND(AB509=1,'Plant Total by Account'!$H$1=2),"EKWRA","")</f>
        <v/>
      </c>
    </row>
    <row r="510" spans="1:29" x14ac:dyDescent="0.2">
      <c r="A510" s="39" t="s">
        <v>3023</v>
      </c>
      <c r="B510" s="45" t="s">
        <v>631</v>
      </c>
      <c r="C510" s="40" t="s">
        <v>3334</v>
      </c>
      <c r="D510" s="53">
        <v>2075.1999999999998</v>
      </c>
      <c r="E510" s="53">
        <v>5151.74</v>
      </c>
      <c r="F510" s="53">
        <v>114989.16</v>
      </c>
      <c r="G510" s="578">
        <f t="shared" si="67"/>
        <v>122216.1</v>
      </c>
      <c r="H510" s="41"/>
      <c r="I510" s="41"/>
      <c r="J510" s="41"/>
      <c r="K510" s="41">
        <f t="shared" si="69"/>
        <v>2075.1999999999998</v>
      </c>
      <c r="L510" s="41">
        <f t="shared" si="70"/>
        <v>5151.74</v>
      </c>
      <c r="M510" s="41">
        <f t="shared" si="71"/>
        <v>114989.16</v>
      </c>
      <c r="N510" s="363">
        <f t="shared" si="68"/>
        <v>0</v>
      </c>
      <c r="O510" s="43" t="s">
        <v>3309</v>
      </c>
      <c r="P510" s="43"/>
      <c r="R510" s="41">
        <f t="shared" si="64"/>
        <v>0</v>
      </c>
      <c r="S510" s="41">
        <f t="shared" si="65"/>
        <v>0</v>
      </c>
      <c r="T510" s="41">
        <f t="shared" si="66"/>
        <v>0</v>
      </c>
      <c r="U510" s="41"/>
      <c r="V510" s="44" t="str">
        <f>IF($P510="High",$S510,IF($P510="Mix",SUMIF('High_Low Voltage Mix Summary'!$B$10:$B$17,$B363,'High_Low Voltage Mix Summary'!$D$10:$D$17),""))</f>
        <v/>
      </c>
      <c r="W510" s="44" t="str">
        <f>IF($P510="Low",$S510,IF($P510="Mix",SUMIF('High_Low Voltage Mix Summary'!$B$10:$B$17,$B363,'High_Low Voltage Mix Summary'!$E$10:$E$17),""))</f>
        <v/>
      </c>
      <c r="X510" s="44" t="str">
        <f>IF($P510="High",$T510,IF($P510="Mix",SUMIF('High_Low Voltage Mix Summary'!$B$10:$B$17,$B363,'High_Low Voltage Mix Summary'!$F$10:$F$17),""))</f>
        <v/>
      </c>
      <c r="Y510" s="44" t="str">
        <f>IF($P510="Low",$T510,IF($P510="Mix",SUMIF('High_Low Voltage Mix Summary'!$B$10:$B$17,$B363,'High_Low Voltage Mix Summary'!$G$10:$G$17),""))</f>
        <v/>
      </c>
      <c r="Z510" s="44" t="str">
        <f>IF(OR($P510="High",$P510="Low"),"",IF($P510="Mix",SUMIF('High_Low Voltage Mix Summary'!$B$10:$B$17,$B363,'High_Low Voltage Mix Summary'!$H$10:$H$17),""))</f>
        <v/>
      </c>
      <c r="AB510" s="49">
        <f>SUMIF('Antelope Bailey Split BA'!$B$7:$B$29,B510,'Antelope Bailey Split BA'!$C$7:$C$29)</f>
        <v>0</v>
      </c>
      <c r="AC510" s="49" t="str">
        <f>IF(AND(AB510=1,'Plant Total by Account'!$H$1=2),"EKWRA","")</f>
        <v/>
      </c>
    </row>
    <row r="511" spans="1:29" x14ac:dyDescent="0.2">
      <c r="A511" s="39" t="s">
        <v>3024</v>
      </c>
      <c r="B511" s="45" t="s">
        <v>632</v>
      </c>
      <c r="C511" s="40" t="s">
        <v>3333</v>
      </c>
      <c r="D511" s="53">
        <v>14222.039999999999</v>
      </c>
      <c r="E511" s="53">
        <v>42887.64</v>
      </c>
      <c r="F511" s="53">
        <v>502545.38</v>
      </c>
      <c r="G511" s="578">
        <f t="shared" si="67"/>
        <v>559655.06000000006</v>
      </c>
      <c r="H511" s="41"/>
      <c r="I511" s="41"/>
      <c r="J511" s="41"/>
      <c r="K511" s="41">
        <f t="shared" si="69"/>
        <v>14222.039999999999</v>
      </c>
      <c r="L511" s="41">
        <f t="shared" si="70"/>
        <v>42887.64</v>
      </c>
      <c r="M511" s="41">
        <f t="shared" si="71"/>
        <v>502545.38</v>
      </c>
      <c r="N511" s="363">
        <f t="shared" si="68"/>
        <v>0</v>
      </c>
      <c r="O511" s="43" t="s">
        <v>3309</v>
      </c>
      <c r="P511" s="43"/>
      <c r="R511" s="41">
        <f t="shared" si="64"/>
        <v>0</v>
      </c>
      <c r="S511" s="41">
        <f t="shared" si="65"/>
        <v>0</v>
      </c>
      <c r="T511" s="41">
        <f t="shared" si="66"/>
        <v>0</v>
      </c>
      <c r="U511" s="41"/>
      <c r="V511" s="44" t="str">
        <f>IF($P511="High",$S511,IF($P511="Mix",SUMIF('High_Low Voltage Mix Summary'!$B$10:$B$17,$B364,'High_Low Voltage Mix Summary'!$D$10:$D$17),""))</f>
        <v/>
      </c>
      <c r="W511" s="44" t="str">
        <f>IF($P511="Low",$S511,IF($P511="Mix",SUMIF('High_Low Voltage Mix Summary'!$B$10:$B$17,$B364,'High_Low Voltage Mix Summary'!$E$10:$E$17),""))</f>
        <v/>
      </c>
      <c r="X511" s="44" t="str">
        <f>IF($P511="High",$T511,IF($P511="Mix",SUMIF('High_Low Voltage Mix Summary'!$B$10:$B$17,$B364,'High_Low Voltage Mix Summary'!$F$10:$F$17),""))</f>
        <v/>
      </c>
      <c r="Y511" s="44" t="str">
        <f>IF($P511="Low",$T511,IF($P511="Mix",SUMIF('High_Low Voltage Mix Summary'!$B$10:$B$17,$B364,'High_Low Voltage Mix Summary'!$G$10:$G$17),""))</f>
        <v/>
      </c>
      <c r="Z511" s="44" t="str">
        <f>IF(OR($P511="High",$P511="Low"),"",IF($P511="Mix",SUMIF('High_Low Voltage Mix Summary'!$B$10:$B$17,$B364,'High_Low Voltage Mix Summary'!$H$10:$H$17),""))</f>
        <v/>
      </c>
      <c r="AB511" s="49">
        <f>SUMIF('Antelope Bailey Split BA'!$B$7:$B$29,B511,'Antelope Bailey Split BA'!$C$7:$C$29)</f>
        <v>0</v>
      </c>
      <c r="AC511" s="49" t="str">
        <f>IF(AND(AB511=1,'Plant Total by Account'!$H$1=2),"EKWRA","")</f>
        <v/>
      </c>
    </row>
    <row r="512" spans="1:29" x14ac:dyDescent="0.2">
      <c r="A512" s="39" t="s">
        <v>3025</v>
      </c>
      <c r="B512" s="45" t="s">
        <v>633</v>
      </c>
      <c r="C512" s="40" t="s">
        <v>3334</v>
      </c>
      <c r="D512" s="53">
        <v>95072.65</v>
      </c>
      <c r="E512" s="53">
        <v>331606.48000000004</v>
      </c>
      <c r="F512" s="53">
        <v>2662994.1599999997</v>
      </c>
      <c r="G512" s="578">
        <f t="shared" si="67"/>
        <v>3089673.2899999996</v>
      </c>
      <c r="H512" s="41"/>
      <c r="I512" s="41"/>
      <c r="J512" s="41"/>
      <c r="K512" s="41">
        <f t="shared" si="69"/>
        <v>95072.65</v>
      </c>
      <c r="L512" s="41">
        <f t="shared" si="70"/>
        <v>331606.48000000004</v>
      </c>
      <c r="M512" s="41">
        <f t="shared" si="71"/>
        <v>2662994.1599999997</v>
      </c>
      <c r="N512" s="363">
        <f t="shared" si="68"/>
        <v>0</v>
      </c>
      <c r="O512" s="43" t="s">
        <v>3309</v>
      </c>
      <c r="P512" s="43"/>
      <c r="R512" s="41">
        <f t="shared" si="64"/>
        <v>0</v>
      </c>
      <c r="S512" s="41">
        <f t="shared" si="65"/>
        <v>0</v>
      </c>
      <c r="T512" s="41">
        <f t="shared" si="66"/>
        <v>0</v>
      </c>
      <c r="U512" s="41"/>
      <c r="V512" s="44" t="str">
        <f>IF($P512="High",$S512,IF($P512="Mix",SUMIF('High_Low Voltage Mix Summary'!$B$10:$B$17,#REF!,'High_Low Voltage Mix Summary'!$D$10:$D$17),""))</f>
        <v/>
      </c>
      <c r="W512" s="44" t="str">
        <f>IF($P512="Low",$S512,IF($P512="Mix",SUMIF('High_Low Voltage Mix Summary'!$B$10:$B$17,#REF!,'High_Low Voltage Mix Summary'!$E$10:$E$17),""))</f>
        <v/>
      </c>
      <c r="X512" s="44" t="str">
        <f>IF($P512="High",$T512,IF($P512="Mix",SUMIF('High_Low Voltage Mix Summary'!$B$10:$B$17,#REF!,'High_Low Voltage Mix Summary'!$F$10:$F$17),""))</f>
        <v/>
      </c>
      <c r="Y512" s="44" t="str">
        <f>IF($P512="Low",$T512,IF($P512="Mix",SUMIF('High_Low Voltage Mix Summary'!$B$10:$B$17,#REF!,'High_Low Voltage Mix Summary'!$G$10:$G$17),""))</f>
        <v/>
      </c>
      <c r="Z512" s="44" t="str">
        <f>IF(OR($P512="High",$P512="Low"),"",IF($P512="Mix",SUMIF('High_Low Voltage Mix Summary'!$B$10:$B$17,#REF!,'High_Low Voltage Mix Summary'!$H$10:$H$17),""))</f>
        <v/>
      </c>
      <c r="AB512" s="49">
        <f>SUMIF('Antelope Bailey Split BA'!$B$7:$B$29,B512,'Antelope Bailey Split BA'!$C$7:$C$29)</f>
        <v>0</v>
      </c>
      <c r="AC512" s="49" t="str">
        <f>IF(AND(AB512=1,'Plant Total by Account'!$H$1=2),"EKWRA","")</f>
        <v/>
      </c>
    </row>
    <row r="513" spans="1:29" x14ac:dyDescent="0.2">
      <c r="A513" s="39" t="s">
        <v>3026</v>
      </c>
      <c r="B513" s="45" t="s">
        <v>634</v>
      </c>
      <c r="C513" s="40" t="s">
        <v>3334</v>
      </c>
      <c r="D513" s="53">
        <v>0</v>
      </c>
      <c r="E513" s="53">
        <v>170361.84</v>
      </c>
      <c r="F513" s="53">
        <v>4475014.22</v>
      </c>
      <c r="G513" s="578">
        <f t="shared" si="67"/>
        <v>4645376.0599999996</v>
      </c>
      <c r="H513" s="41"/>
      <c r="I513" s="41"/>
      <c r="J513" s="41"/>
      <c r="K513" s="41">
        <f t="shared" si="69"/>
        <v>0</v>
      </c>
      <c r="L513" s="41">
        <f t="shared" si="70"/>
        <v>170361.84</v>
      </c>
      <c r="M513" s="41">
        <f t="shared" si="71"/>
        <v>4475014.22</v>
      </c>
      <c r="N513" s="363">
        <f t="shared" si="68"/>
        <v>0</v>
      </c>
      <c r="O513" s="43" t="s">
        <v>3309</v>
      </c>
      <c r="P513" s="43"/>
      <c r="R513" s="41">
        <f t="shared" si="64"/>
        <v>0</v>
      </c>
      <c r="S513" s="41">
        <f t="shared" si="65"/>
        <v>0</v>
      </c>
      <c r="T513" s="41">
        <f t="shared" si="66"/>
        <v>0</v>
      </c>
      <c r="U513" s="41"/>
      <c r="V513" s="44" t="str">
        <f>IF($P513="High",$S513,IF($P513="Mix",SUMIF('High_Low Voltage Mix Summary'!$B$10:$B$17,$B365,'High_Low Voltage Mix Summary'!$D$10:$D$17),""))</f>
        <v/>
      </c>
      <c r="W513" s="44" t="str">
        <f>IF($P513="Low",$S513,IF($P513="Mix",SUMIF('High_Low Voltage Mix Summary'!$B$10:$B$17,$B365,'High_Low Voltage Mix Summary'!$E$10:$E$17),""))</f>
        <v/>
      </c>
      <c r="X513" s="44" t="str">
        <f>IF($P513="High",$T513,IF($P513="Mix",SUMIF('High_Low Voltage Mix Summary'!$B$10:$B$17,$B365,'High_Low Voltage Mix Summary'!$F$10:$F$17),""))</f>
        <v/>
      </c>
      <c r="Y513" s="44" t="str">
        <f>IF($P513="Low",$T513,IF($P513="Mix",SUMIF('High_Low Voltage Mix Summary'!$B$10:$B$17,$B365,'High_Low Voltage Mix Summary'!$G$10:$G$17),""))</f>
        <v/>
      </c>
      <c r="Z513" s="44" t="str">
        <f>IF(OR($P513="High",$P513="Low"),"",IF($P513="Mix",SUMIF('High_Low Voltage Mix Summary'!$B$10:$B$17,$B365,'High_Low Voltage Mix Summary'!$H$10:$H$17),""))</f>
        <v/>
      </c>
      <c r="AB513" s="49">
        <f>SUMIF('Antelope Bailey Split BA'!$B$7:$B$29,B513,'Antelope Bailey Split BA'!$C$7:$C$29)</f>
        <v>0</v>
      </c>
      <c r="AC513" s="49" t="str">
        <f>IF(AND(AB513=1,'Plant Total by Account'!$H$1=2),"EKWRA","")</f>
        <v/>
      </c>
    </row>
    <row r="514" spans="1:29" x14ac:dyDescent="0.2">
      <c r="A514" s="39" t="s">
        <v>3027</v>
      </c>
      <c r="B514" s="45" t="s">
        <v>635</v>
      </c>
      <c r="C514" s="40" t="s">
        <v>3334</v>
      </c>
      <c r="D514" s="53">
        <v>23609.58</v>
      </c>
      <c r="E514" s="53">
        <v>239995.21000000005</v>
      </c>
      <c r="F514" s="53">
        <v>7110739.529999977</v>
      </c>
      <c r="G514" s="578">
        <f t="shared" si="67"/>
        <v>7374344.319999977</v>
      </c>
      <c r="H514" s="41"/>
      <c r="I514" s="41"/>
      <c r="J514" s="41"/>
      <c r="K514" s="41">
        <f t="shared" si="69"/>
        <v>23609.58</v>
      </c>
      <c r="L514" s="41">
        <f t="shared" si="70"/>
        <v>239995.21000000005</v>
      </c>
      <c r="M514" s="41">
        <f t="shared" si="71"/>
        <v>7110739.529999977</v>
      </c>
      <c r="N514" s="363">
        <f t="shared" si="68"/>
        <v>0</v>
      </c>
      <c r="O514" s="43" t="s">
        <v>3309</v>
      </c>
      <c r="P514" s="43"/>
      <c r="R514" s="41">
        <f t="shared" si="64"/>
        <v>0</v>
      </c>
      <c r="S514" s="41">
        <f t="shared" si="65"/>
        <v>0</v>
      </c>
      <c r="T514" s="41">
        <f t="shared" si="66"/>
        <v>0</v>
      </c>
      <c r="U514" s="41"/>
      <c r="V514" s="44" t="str">
        <f>IF($P514="High",$S514,IF($P514="Mix",SUMIF('High_Low Voltage Mix Summary'!$B$10:$B$17,$B366,'High_Low Voltage Mix Summary'!$D$10:$D$17),""))</f>
        <v/>
      </c>
      <c r="W514" s="44" t="str">
        <f>IF($P514="Low",$S514,IF($P514="Mix",SUMIF('High_Low Voltage Mix Summary'!$B$10:$B$17,$B366,'High_Low Voltage Mix Summary'!$E$10:$E$17),""))</f>
        <v/>
      </c>
      <c r="X514" s="44" t="str">
        <f>IF($P514="High",$T514,IF($P514="Mix",SUMIF('High_Low Voltage Mix Summary'!$B$10:$B$17,$B366,'High_Low Voltage Mix Summary'!$F$10:$F$17),""))</f>
        <v/>
      </c>
      <c r="Y514" s="44" t="str">
        <f>IF($P514="Low",$T514,IF($P514="Mix",SUMIF('High_Low Voltage Mix Summary'!$B$10:$B$17,$B366,'High_Low Voltage Mix Summary'!$G$10:$G$17),""))</f>
        <v/>
      </c>
      <c r="Z514" s="44" t="str">
        <f>IF(OR($P514="High",$P514="Low"),"",IF($P514="Mix",SUMIF('High_Low Voltage Mix Summary'!$B$10:$B$17,$B366,'High_Low Voltage Mix Summary'!$H$10:$H$17),""))</f>
        <v/>
      </c>
      <c r="AB514" s="49">
        <f>SUMIF('Antelope Bailey Split BA'!$B$7:$B$29,B514,'Antelope Bailey Split BA'!$C$7:$C$29)</f>
        <v>0</v>
      </c>
      <c r="AC514" s="49" t="str">
        <f>IF(AND(AB514=1,'Plant Total by Account'!$H$1=2),"EKWRA","")</f>
        <v/>
      </c>
    </row>
    <row r="515" spans="1:29" x14ac:dyDescent="0.2">
      <c r="A515" s="39" t="s">
        <v>3028</v>
      </c>
      <c r="B515" s="45" t="s">
        <v>636</v>
      </c>
      <c r="C515" s="40" t="s">
        <v>3334</v>
      </c>
      <c r="D515" s="53">
        <v>1296.52</v>
      </c>
      <c r="E515" s="53">
        <v>31621.620000000003</v>
      </c>
      <c r="F515" s="53">
        <v>804984.69</v>
      </c>
      <c r="G515" s="578">
        <f t="shared" si="67"/>
        <v>837902.83</v>
      </c>
      <c r="H515" s="41"/>
      <c r="I515" s="41"/>
      <c r="J515" s="41"/>
      <c r="K515" s="41">
        <f t="shared" si="69"/>
        <v>1296.52</v>
      </c>
      <c r="L515" s="41">
        <f t="shared" si="70"/>
        <v>31621.620000000003</v>
      </c>
      <c r="M515" s="41">
        <f t="shared" si="71"/>
        <v>804984.69</v>
      </c>
      <c r="N515" s="363">
        <f t="shared" si="68"/>
        <v>0</v>
      </c>
      <c r="O515" s="43" t="s">
        <v>3309</v>
      </c>
      <c r="P515" s="43"/>
      <c r="R515" s="41">
        <f t="shared" si="64"/>
        <v>0</v>
      </c>
      <c r="S515" s="41">
        <f t="shared" si="65"/>
        <v>0</v>
      </c>
      <c r="T515" s="41">
        <f t="shared" si="66"/>
        <v>0</v>
      </c>
      <c r="U515" s="41"/>
      <c r="V515" s="44" t="str">
        <f>IF($P515="High",$S515,IF($P515="Mix",SUMIF('High_Low Voltage Mix Summary'!$B$10:$B$17,$B368,'High_Low Voltage Mix Summary'!$D$10:$D$17),""))</f>
        <v/>
      </c>
      <c r="W515" s="44" t="str">
        <f>IF($P515="Low",$S515,IF($P515="Mix",SUMIF('High_Low Voltage Mix Summary'!$B$10:$B$17,$B368,'High_Low Voltage Mix Summary'!$E$10:$E$17),""))</f>
        <v/>
      </c>
      <c r="X515" s="44" t="str">
        <f>IF($P515="High",$T515,IF($P515="Mix",SUMIF('High_Low Voltage Mix Summary'!$B$10:$B$17,$B368,'High_Low Voltage Mix Summary'!$F$10:$F$17),""))</f>
        <v/>
      </c>
      <c r="Y515" s="44" t="str">
        <f>IF($P515="Low",$T515,IF($P515="Mix",SUMIF('High_Low Voltage Mix Summary'!$B$10:$B$17,$B368,'High_Low Voltage Mix Summary'!$G$10:$G$17),""))</f>
        <v/>
      </c>
      <c r="Z515" s="44" t="str">
        <f>IF(OR($P515="High",$P515="Low"),"",IF($P515="Mix",SUMIF('High_Low Voltage Mix Summary'!$B$10:$B$17,$B368,'High_Low Voltage Mix Summary'!$H$10:$H$17),""))</f>
        <v/>
      </c>
      <c r="AB515" s="49">
        <f>SUMIF('Antelope Bailey Split BA'!$B$7:$B$29,B515,'Antelope Bailey Split BA'!$C$7:$C$29)</f>
        <v>0</v>
      </c>
      <c r="AC515" s="49" t="str">
        <f>IF(AND(AB515=1,'Plant Total by Account'!$H$1=2),"EKWRA","")</f>
        <v/>
      </c>
    </row>
    <row r="516" spans="1:29" x14ac:dyDescent="0.2">
      <c r="A516" s="39" t="s">
        <v>3029</v>
      </c>
      <c r="B516" s="45" t="s">
        <v>637</v>
      </c>
      <c r="C516" s="40" t="s">
        <v>3334</v>
      </c>
      <c r="D516" s="53">
        <v>39968.39</v>
      </c>
      <c r="E516" s="53">
        <v>51701.39</v>
      </c>
      <c r="F516" s="53">
        <v>2828035.7299999995</v>
      </c>
      <c r="G516" s="578">
        <f t="shared" si="67"/>
        <v>2919705.5099999993</v>
      </c>
      <c r="H516" s="41"/>
      <c r="I516" s="41"/>
      <c r="J516" s="41"/>
      <c r="K516" s="41">
        <f t="shared" si="69"/>
        <v>39968.39</v>
      </c>
      <c r="L516" s="41">
        <f t="shared" si="70"/>
        <v>51701.39</v>
      </c>
      <c r="M516" s="41">
        <f t="shared" si="71"/>
        <v>2828035.7299999995</v>
      </c>
      <c r="N516" s="363">
        <f t="shared" si="68"/>
        <v>0</v>
      </c>
      <c r="O516" s="43" t="s">
        <v>3309</v>
      </c>
      <c r="P516" s="43"/>
      <c r="R516" s="41">
        <f t="shared" si="64"/>
        <v>0</v>
      </c>
      <c r="S516" s="41">
        <f t="shared" si="65"/>
        <v>0</v>
      </c>
      <c r="T516" s="41">
        <f t="shared" si="66"/>
        <v>0</v>
      </c>
      <c r="U516" s="41"/>
      <c r="V516" s="44" t="str">
        <f>IF($P516="High",$S516,IF($P516="Mix",SUMIF('High_Low Voltage Mix Summary'!$B$10:$B$17,$B369,'High_Low Voltage Mix Summary'!$D$10:$D$17),""))</f>
        <v/>
      </c>
      <c r="W516" s="44" t="str">
        <f>IF($P516="Low",$S516,IF($P516="Mix",SUMIF('High_Low Voltage Mix Summary'!$B$10:$B$17,$B369,'High_Low Voltage Mix Summary'!$E$10:$E$17),""))</f>
        <v/>
      </c>
      <c r="X516" s="44" t="str">
        <f>IF($P516="High",$T516,IF($P516="Mix",SUMIF('High_Low Voltage Mix Summary'!$B$10:$B$17,$B369,'High_Low Voltage Mix Summary'!$F$10:$F$17),""))</f>
        <v/>
      </c>
      <c r="Y516" s="44" t="str">
        <f>IF($P516="Low",$T516,IF($P516="Mix",SUMIF('High_Low Voltage Mix Summary'!$B$10:$B$17,$B369,'High_Low Voltage Mix Summary'!$G$10:$G$17),""))</f>
        <v/>
      </c>
      <c r="Z516" s="44" t="str">
        <f>IF(OR($P516="High",$P516="Low"),"",IF($P516="Mix",SUMIF('High_Low Voltage Mix Summary'!$B$10:$B$17,$B369,'High_Low Voltage Mix Summary'!$H$10:$H$17),""))</f>
        <v/>
      </c>
      <c r="AB516" s="49">
        <f>SUMIF('Antelope Bailey Split BA'!$B$7:$B$29,B516,'Antelope Bailey Split BA'!$C$7:$C$29)</f>
        <v>0</v>
      </c>
      <c r="AC516" s="49" t="str">
        <f>IF(AND(AB516=1,'Plant Total by Account'!$H$1=2),"EKWRA","")</f>
        <v/>
      </c>
    </row>
    <row r="517" spans="1:29" x14ac:dyDescent="0.2">
      <c r="A517" s="39" t="s">
        <v>3030</v>
      </c>
      <c r="B517" s="45" t="s">
        <v>638</v>
      </c>
      <c r="C517" s="40" t="s">
        <v>3334</v>
      </c>
      <c r="D517" s="53">
        <v>0</v>
      </c>
      <c r="E517" s="53">
        <v>7855.43</v>
      </c>
      <c r="F517" s="53">
        <v>713913.66</v>
      </c>
      <c r="G517" s="578">
        <f t="shared" si="67"/>
        <v>721769.09000000008</v>
      </c>
      <c r="H517" s="41"/>
      <c r="I517" s="41"/>
      <c r="J517" s="41"/>
      <c r="K517" s="41">
        <f t="shared" si="69"/>
        <v>0</v>
      </c>
      <c r="L517" s="41">
        <f t="shared" si="70"/>
        <v>7855.43</v>
      </c>
      <c r="M517" s="41">
        <f t="shared" si="71"/>
        <v>713913.66</v>
      </c>
      <c r="N517" s="363">
        <f t="shared" si="68"/>
        <v>0</v>
      </c>
      <c r="O517" s="43" t="s">
        <v>3309</v>
      </c>
      <c r="P517" s="43"/>
      <c r="R517" s="41">
        <f t="shared" si="64"/>
        <v>0</v>
      </c>
      <c r="S517" s="41">
        <f t="shared" si="65"/>
        <v>0</v>
      </c>
      <c r="T517" s="41">
        <f t="shared" si="66"/>
        <v>0</v>
      </c>
      <c r="U517" s="41"/>
      <c r="V517" s="44" t="str">
        <f>IF($P517="High",$S517,IF($P517="Mix",SUMIF('High_Low Voltage Mix Summary'!$B$10:$B$17,$B370,'High_Low Voltage Mix Summary'!$D$10:$D$17),""))</f>
        <v/>
      </c>
      <c r="W517" s="44" t="str">
        <f>IF($P517="Low",$S517,IF($P517="Mix",SUMIF('High_Low Voltage Mix Summary'!$B$10:$B$17,$B370,'High_Low Voltage Mix Summary'!$E$10:$E$17),""))</f>
        <v/>
      </c>
      <c r="X517" s="44" t="str">
        <f>IF($P517="High",$T517,IF($P517="Mix",SUMIF('High_Low Voltage Mix Summary'!$B$10:$B$17,$B370,'High_Low Voltage Mix Summary'!$F$10:$F$17),""))</f>
        <v/>
      </c>
      <c r="Y517" s="44" t="str">
        <f>IF($P517="Low",$T517,IF($P517="Mix",SUMIF('High_Low Voltage Mix Summary'!$B$10:$B$17,$B370,'High_Low Voltage Mix Summary'!$G$10:$G$17),""))</f>
        <v/>
      </c>
      <c r="Z517" s="44" t="str">
        <f>IF(OR($P517="High",$P517="Low"),"",IF($P517="Mix",SUMIF('High_Low Voltage Mix Summary'!$B$10:$B$17,$B370,'High_Low Voltage Mix Summary'!$H$10:$H$17),""))</f>
        <v/>
      </c>
      <c r="AB517" s="49">
        <f>SUMIF('Antelope Bailey Split BA'!$B$7:$B$29,B517,'Antelope Bailey Split BA'!$C$7:$C$29)</f>
        <v>0</v>
      </c>
      <c r="AC517" s="49" t="str">
        <f>IF(AND(AB517=1,'Plant Total by Account'!$H$1=2),"EKWRA","")</f>
        <v/>
      </c>
    </row>
    <row r="518" spans="1:29" x14ac:dyDescent="0.2">
      <c r="A518" s="39" t="s">
        <v>3031</v>
      </c>
      <c r="B518" s="45" t="s">
        <v>639</v>
      </c>
      <c r="C518" s="40" t="s">
        <v>3334</v>
      </c>
      <c r="D518" s="53">
        <v>96954.510000000009</v>
      </c>
      <c r="E518" s="53">
        <v>125847.95999999999</v>
      </c>
      <c r="F518" s="53">
        <v>2533499.419999999</v>
      </c>
      <c r="G518" s="578">
        <f t="shared" si="67"/>
        <v>2756301.8899999992</v>
      </c>
      <c r="H518" s="41"/>
      <c r="I518" s="41"/>
      <c r="J518" s="41"/>
      <c r="K518" s="41">
        <f t="shared" si="69"/>
        <v>96954.510000000009</v>
      </c>
      <c r="L518" s="41">
        <f t="shared" si="70"/>
        <v>125847.95999999999</v>
      </c>
      <c r="M518" s="41">
        <f t="shared" si="71"/>
        <v>2533499.419999999</v>
      </c>
      <c r="N518" s="363">
        <f t="shared" si="68"/>
        <v>0</v>
      </c>
      <c r="O518" s="43" t="s">
        <v>3309</v>
      </c>
      <c r="P518" s="43"/>
      <c r="R518" s="41">
        <f t="shared" ref="R518:R581" si="72">SUM(H518:J518)</f>
        <v>0</v>
      </c>
      <c r="S518" s="41">
        <f t="shared" ref="S518:S581" si="73">H518</f>
        <v>0</v>
      </c>
      <c r="T518" s="41">
        <f t="shared" ref="T518:T581" si="74">SUM(I518:J518)</f>
        <v>0</v>
      </c>
      <c r="U518" s="41"/>
      <c r="V518" s="44" t="str">
        <f>IF($P518="High",$S518,IF($P518="Mix",SUMIF('High_Low Voltage Mix Summary'!$B$10:$B$17,$B371,'High_Low Voltage Mix Summary'!$D$10:$D$17),""))</f>
        <v/>
      </c>
      <c r="W518" s="44" t="str">
        <f>IF($P518="Low",$S518,IF($P518="Mix",SUMIF('High_Low Voltage Mix Summary'!$B$10:$B$17,$B371,'High_Low Voltage Mix Summary'!$E$10:$E$17),""))</f>
        <v/>
      </c>
      <c r="X518" s="44" t="str">
        <f>IF($P518="High",$T518,IF($P518="Mix",SUMIF('High_Low Voltage Mix Summary'!$B$10:$B$17,$B371,'High_Low Voltage Mix Summary'!$F$10:$F$17),""))</f>
        <v/>
      </c>
      <c r="Y518" s="44" t="str">
        <f>IF($P518="Low",$T518,IF($P518="Mix",SUMIF('High_Low Voltage Mix Summary'!$B$10:$B$17,$B371,'High_Low Voltage Mix Summary'!$G$10:$G$17),""))</f>
        <v/>
      </c>
      <c r="Z518" s="44" t="str">
        <f>IF(OR($P518="High",$P518="Low"),"",IF($P518="Mix",SUMIF('High_Low Voltage Mix Summary'!$B$10:$B$17,$B371,'High_Low Voltage Mix Summary'!$H$10:$H$17),""))</f>
        <v/>
      </c>
      <c r="AB518" s="49">
        <f>SUMIF('Antelope Bailey Split BA'!$B$7:$B$29,B518,'Antelope Bailey Split BA'!$C$7:$C$29)</f>
        <v>0</v>
      </c>
      <c r="AC518" s="49" t="str">
        <f>IF(AND(AB518=1,'Plant Total by Account'!$H$1=2),"EKWRA","")</f>
        <v/>
      </c>
    </row>
    <row r="519" spans="1:29" x14ac:dyDescent="0.2">
      <c r="A519" s="39" t="s">
        <v>3032</v>
      </c>
      <c r="B519" s="45" t="s">
        <v>640</v>
      </c>
      <c r="C519" s="40" t="s">
        <v>3334</v>
      </c>
      <c r="D519" s="53">
        <v>0</v>
      </c>
      <c r="E519" s="53">
        <v>29828.93</v>
      </c>
      <c r="F519" s="53">
        <v>1566116.31</v>
      </c>
      <c r="G519" s="578">
        <f t="shared" si="67"/>
        <v>1595945.24</v>
      </c>
      <c r="H519" s="41"/>
      <c r="I519" s="41"/>
      <c r="J519" s="41"/>
      <c r="K519" s="41">
        <f t="shared" si="69"/>
        <v>0</v>
      </c>
      <c r="L519" s="41">
        <f t="shared" si="70"/>
        <v>29828.93</v>
      </c>
      <c r="M519" s="41">
        <f t="shared" si="71"/>
        <v>1566116.31</v>
      </c>
      <c r="N519" s="363">
        <f t="shared" si="68"/>
        <v>0</v>
      </c>
      <c r="O519" s="43" t="s">
        <v>3309</v>
      </c>
      <c r="P519" s="43"/>
      <c r="R519" s="41">
        <f t="shared" si="72"/>
        <v>0</v>
      </c>
      <c r="S519" s="41">
        <f t="shared" si="73"/>
        <v>0</v>
      </c>
      <c r="T519" s="41">
        <f t="shared" si="74"/>
        <v>0</v>
      </c>
      <c r="U519" s="41"/>
      <c r="V519" s="44" t="str">
        <f>IF($P519="High",$S519,IF($P519="Mix",SUMIF('High_Low Voltage Mix Summary'!$B$10:$B$17,$B372,'High_Low Voltage Mix Summary'!$D$10:$D$17),""))</f>
        <v/>
      </c>
      <c r="W519" s="44" t="str">
        <f>IF($P519="Low",$S519,IF($P519="Mix",SUMIF('High_Low Voltage Mix Summary'!$B$10:$B$17,$B372,'High_Low Voltage Mix Summary'!$E$10:$E$17),""))</f>
        <v/>
      </c>
      <c r="X519" s="44" t="str">
        <f>IF($P519="High",$T519,IF($P519="Mix",SUMIF('High_Low Voltage Mix Summary'!$B$10:$B$17,$B372,'High_Low Voltage Mix Summary'!$F$10:$F$17),""))</f>
        <v/>
      </c>
      <c r="Y519" s="44" t="str">
        <f>IF($P519="Low",$T519,IF($P519="Mix",SUMIF('High_Low Voltage Mix Summary'!$B$10:$B$17,$B372,'High_Low Voltage Mix Summary'!$G$10:$G$17),""))</f>
        <v/>
      </c>
      <c r="Z519" s="44" t="str">
        <f>IF(OR($P519="High",$P519="Low"),"",IF($P519="Mix",SUMIF('High_Low Voltage Mix Summary'!$B$10:$B$17,$B372,'High_Low Voltage Mix Summary'!$H$10:$H$17),""))</f>
        <v/>
      </c>
      <c r="AB519" s="49">
        <f>SUMIF('Antelope Bailey Split BA'!$B$7:$B$29,B519,'Antelope Bailey Split BA'!$C$7:$C$29)</f>
        <v>0</v>
      </c>
      <c r="AC519" s="49" t="str">
        <f>IF(AND(AB519=1,'Plant Total by Account'!$H$1=2),"EKWRA","")</f>
        <v/>
      </c>
    </row>
    <row r="520" spans="1:29" x14ac:dyDescent="0.2">
      <c r="A520" s="39" t="s">
        <v>3033</v>
      </c>
      <c r="B520" s="45" t="s">
        <v>641</v>
      </c>
      <c r="C520" s="40" t="s">
        <v>3334</v>
      </c>
      <c r="D520" s="53">
        <v>0</v>
      </c>
      <c r="E520" s="53">
        <v>286554.68999999994</v>
      </c>
      <c r="F520" s="53">
        <v>5263060.46</v>
      </c>
      <c r="G520" s="578">
        <f t="shared" si="67"/>
        <v>5549615.1500000004</v>
      </c>
      <c r="H520" s="41"/>
      <c r="I520" s="41"/>
      <c r="J520" s="41"/>
      <c r="K520" s="41">
        <f t="shared" si="69"/>
        <v>0</v>
      </c>
      <c r="L520" s="41">
        <f t="shared" si="70"/>
        <v>286554.68999999994</v>
      </c>
      <c r="M520" s="41">
        <f t="shared" si="71"/>
        <v>5263060.46</v>
      </c>
      <c r="N520" s="363">
        <f t="shared" si="68"/>
        <v>0</v>
      </c>
      <c r="O520" s="43" t="s">
        <v>3309</v>
      </c>
      <c r="P520" s="43"/>
      <c r="R520" s="41">
        <f t="shared" si="72"/>
        <v>0</v>
      </c>
      <c r="S520" s="41">
        <f t="shared" si="73"/>
        <v>0</v>
      </c>
      <c r="T520" s="41">
        <f t="shared" si="74"/>
        <v>0</v>
      </c>
      <c r="U520" s="41"/>
      <c r="V520" s="44" t="str">
        <f>IF($P520="High",$S520,IF($P520="Mix",SUMIF('High_Low Voltage Mix Summary'!$B$10:$B$17,$B373,'High_Low Voltage Mix Summary'!$D$10:$D$17),""))</f>
        <v/>
      </c>
      <c r="W520" s="44" t="str">
        <f>IF($P520="Low",$S520,IF($P520="Mix",SUMIF('High_Low Voltage Mix Summary'!$B$10:$B$17,$B373,'High_Low Voltage Mix Summary'!$E$10:$E$17),""))</f>
        <v/>
      </c>
      <c r="X520" s="44" t="str">
        <f>IF($P520="High",$T520,IF($P520="Mix",SUMIF('High_Low Voltage Mix Summary'!$B$10:$B$17,$B373,'High_Low Voltage Mix Summary'!$F$10:$F$17),""))</f>
        <v/>
      </c>
      <c r="Y520" s="44" t="str">
        <f>IF($P520="Low",$T520,IF($P520="Mix",SUMIF('High_Low Voltage Mix Summary'!$B$10:$B$17,$B373,'High_Low Voltage Mix Summary'!$G$10:$G$17),""))</f>
        <v/>
      </c>
      <c r="Z520" s="44" t="str">
        <f>IF(OR($P520="High",$P520="Low"),"",IF($P520="Mix",SUMIF('High_Low Voltage Mix Summary'!$B$10:$B$17,$B373,'High_Low Voltage Mix Summary'!$H$10:$H$17),""))</f>
        <v/>
      </c>
      <c r="AB520" s="49">
        <f>SUMIF('Antelope Bailey Split BA'!$B$7:$B$29,B520,'Antelope Bailey Split BA'!$C$7:$C$29)</f>
        <v>0</v>
      </c>
      <c r="AC520" s="49" t="str">
        <f>IF(AND(AB520=1,'Plant Total by Account'!$H$1=2),"EKWRA","")</f>
        <v/>
      </c>
    </row>
    <row r="521" spans="1:29" x14ac:dyDescent="0.2">
      <c r="A521" s="39" t="s">
        <v>3034</v>
      </c>
      <c r="B521" s="45" t="s">
        <v>642</v>
      </c>
      <c r="C521" s="40" t="s">
        <v>3334</v>
      </c>
      <c r="D521" s="53">
        <v>86695.2</v>
      </c>
      <c r="E521" s="53">
        <v>122126.24000000002</v>
      </c>
      <c r="F521" s="53">
        <v>2421174.0200000014</v>
      </c>
      <c r="G521" s="578">
        <f t="shared" si="67"/>
        <v>2629995.4600000014</v>
      </c>
      <c r="H521" s="41"/>
      <c r="I521" s="41"/>
      <c r="J521" s="41"/>
      <c r="K521" s="41">
        <f t="shared" si="69"/>
        <v>86695.2</v>
      </c>
      <c r="L521" s="41">
        <f t="shared" si="70"/>
        <v>122126.24000000002</v>
      </c>
      <c r="M521" s="41">
        <f t="shared" si="71"/>
        <v>2421174.0200000014</v>
      </c>
      <c r="N521" s="363">
        <f t="shared" si="68"/>
        <v>0</v>
      </c>
      <c r="O521" s="43" t="s">
        <v>3309</v>
      </c>
      <c r="P521" s="43"/>
      <c r="R521" s="41">
        <f t="shared" si="72"/>
        <v>0</v>
      </c>
      <c r="S521" s="41">
        <f t="shared" si="73"/>
        <v>0</v>
      </c>
      <c r="T521" s="41">
        <f t="shared" si="74"/>
        <v>0</v>
      </c>
      <c r="U521" s="41"/>
      <c r="V521" s="44" t="str">
        <f>IF($P521="High",$S521,IF($P521="Mix",SUMIF('High_Low Voltage Mix Summary'!$B$10:$B$17,$B375,'High_Low Voltage Mix Summary'!$D$10:$D$17),""))</f>
        <v/>
      </c>
      <c r="W521" s="44" t="str">
        <f>IF($P521="Low",$S521,IF($P521="Mix",SUMIF('High_Low Voltage Mix Summary'!$B$10:$B$17,$B375,'High_Low Voltage Mix Summary'!$E$10:$E$17),""))</f>
        <v/>
      </c>
      <c r="X521" s="44" t="str">
        <f>IF($P521="High",$T521,IF($P521="Mix",SUMIF('High_Low Voltage Mix Summary'!$B$10:$B$17,$B375,'High_Low Voltage Mix Summary'!$F$10:$F$17),""))</f>
        <v/>
      </c>
      <c r="Y521" s="44" t="str">
        <f>IF($P521="Low",$T521,IF($P521="Mix",SUMIF('High_Low Voltage Mix Summary'!$B$10:$B$17,$B375,'High_Low Voltage Mix Summary'!$G$10:$G$17),""))</f>
        <v/>
      </c>
      <c r="Z521" s="44" t="str">
        <f>IF(OR($P521="High",$P521="Low"),"",IF($P521="Mix",SUMIF('High_Low Voltage Mix Summary'!$B$10:$B$17,$B375,'High_Low Voltage Mix Summary'!$H$10:$H$17),""))</f>
        <v/>
      </c>
      <c r="AB521" s="49">
        <f>SUMIF('Antelope Bailey Split BA'!$B$7:$B$29,B521,'Antelope Bailey Split BA'!$C$7:$C$29)</f>
        <v>0</v>
      </c>
      <c r="AC521" s="49" t="str">
        <f>IF(AND(AB521=1,'Plant Total by Account'!$H$1=2),"EKWRA","")</f>
        <v/>
      </c>
    </row>
    <row r="522" spans="1:29" x14ac:dyDescent="0.2">
      <c r="A522" s="39" t="s">
        <v>3035</v>
      </c>
      <c r="B522" s="45" t="s">
        <v>643</v>
      </c>
      <c r="C522" s="40" t="s">
        <v>3333</v>
      </c>
      <c r="D522" s="53">
        <v>3622.28</v>
      </c>
      <c r="E522" s="53">
        <v>233521.39999999997</v>
      </c>
      <c r="F522" s="53">
        <v>631203.3200000003</v>
      </c>
      <c r="G522" s="578">
        <f t="shared" ref="G522:G585" si="75">SUM(D522:F522)</f>
        <v>868347.00000000023</v>
      </c>
      <c r="H522" s="41"/>
      <c r="I522" s="41"/>
      <c r="J522" s="41"/>
      <c r="K522" s="41">
        <f t="shared" si="69"/>
        <v>3622.28</v>
      </c>
      <c r="L522" s="41">
        <f t="shared" si="70"/>
        <v>233521.39999999997</v>
      </c>
      <c r="M522" s="41">
        <f t="shared" si="71"/>
        <v>631203.3200000003</v>
      </c>
      <c r="N522" s="363">
        <f t="shared" ref="N522:N585" si="76">G522-SUM(H522:M522)</f>
        <v>0</v>
      </c>
      <c r="O522" s="43" t="s">
        <v>3309</v>
      </c>
      <c r="P522" s="43"/>
      <c r="R522" s="41">
        <f t="shared" si="72"/>
        <v>0</v>
      </c>
      <c r="S522" s="41">
        <f t="shared" si="73"/>
        <v>0</v>
      </c>
      <c r="T522" s="41">
        <f t="shared" si="74"/>
        <v>0</v>
      </c>
      <c r="U522" s="41"/>
      <c r="V522" s="44" t="str">
        <f>IF($P522="High",$S522,IF($P522="Mix",SUMIF('High_Low Voltage Mix Summary'!$B$10:$B$17,$B376,'High_Low Voltage Mix Summary'!$D$10:$D$17),""))</f>
        <v/>
      </c>
      <c r="W522" s="44" t="str">
        <f>IF($P522="Low",$S522,IF($P522="Mix",SUMIF('High_Low Voltage Mix Summary'!$B$10:$B$17,$B376,'High_Low Voltage Mix Summary'!$E$10:$E$17),""))</f>
        <v/>
      </c>
      <c r="X522" s="44" t="str">
        <f>IF($P522="High",$T522,IF($P522="Mix",SUMIF('High_Low Voltage Mix Summary'!$B$10:$B$17,$B376,'High_Low Voltage Mix Summary'!$F$10:$F$17),""))</f>
        <v/>
      </c>
      <c r="Y522" s="44" t="str">
        <f>IF($P522="Low",$T522,IF($P522="Mix",SUMIF('High_Low Voltage Mix Summary'!$B$10:$B$17,$B376,'High_Low Voltage Mix Summary'!$G$10:$G$17),""))</f>
        <v/>
      </c>
      <c r="Z522" s="44" t="str">
        <f>IF(OR($P522="High",$P522="Low"),"",IF($P522="Mix",SUMIF('High_Low Voltage Mix Summary'!$B$10:$B$17,$B376,'High_Low Voltage Mix Summary'!$H$10:$H$17),""))</f>
        <v/>
      </c>
      <c r="AB522" s="49">
        <f>SUMIF('Antelope Bailey Split BA'!$B$7:$B$29,B522,'Antelope Bailey Split BA'!$C$7:$C$29)</f>
        <v>0</v>
      </c>
      <c r="AC522" s="49" t="str">
        <f>IF(AND(AB522=1,'Plant Total by Account'!$H$1=2),"EKWRA","")</f>
        <v/>
      </c>
    </row>
    <row r="523" spans="1:29" x14ac:dyDescent="0.2">
      <c r="A523" s="39" t="s">
        <v>3036</v>
      </c>
      <c r="B523" s="45" t="s">
        <v>644</v>
      </c>
      <c r="C523" s="40" t="s">
        <v>3334</v>
      </c>
      <c r="D523" s="53">
        <v>26441.789999999997</v>
      </c>
      <c r="E523" s="53">
        <v>125518.48999999999</v>
      </c>
      <c r="F523" s="53">
        <v>4417298.6500000032</v>
      </c>
      <c r="G523" s="578">
        <f t="shared" si="75"/>
        <v>4569258.9300000034</v>
      </c>
      <c r="H523" s="41"/>
      <c r="I523" s="41"/>
      <c r="J523" s="41"/>
      <c r="K523" s="41">
        <f t="shared" si="69"/>
        <v>26441.789999999997</v>
      </c>
      <c r="L523" s="41">
        <f t="shared" si="70"/>
        <v>125518.48999999999</v>
      </c>
      <c r="M523" s="41">
        <f t="shared" si="71"/>
        <v>4417298.6500000032</v>
      </c>
      <c r="N523" s="363">
        <f t="shared" si="76"/>
        <v>0</v>
      </c>
      <c r="O523" s="43" t="s">
        <v>3309</v>
      </c>
      <c r="P523" s="43"/>
      <c r="R523" s="41">
        <f t="shared" si="72"/>
        <v>0</v>
      </c>
      <c r="S523" s="41">
        <f t="shared" si="73"/>
        <v>0</v>
      </c>
      <c r="T523" s="41">
        <f t="shared" si="74"/>
        <v>0</v>
      </c>
      <c r="U523" s="41"/>
      <c r="V523" s="44" t="str">
        <f>IF($P523="High",$S523,IF($P523="Mix",SUMIF('High_Low Voltage Mix Summary'!$B$10:$B$17,#REF!,'High_Low Voltage Mix Summary'!$D$10:$D$17),""))</f>
        <v/>
      </c>
      <c r="W523" s="44" t="str">
        <f>IF($P523="Low",$S523,IF($P523="Mix",SUMIF('High_Low Voltage Mix Summary'!$B$10:$B$17,#REF!,'High_Low Voltage Mix Summary'!$E$10:$E$17),""))</f>
        <v/>
      </c>
      <c r="X523" s="44" t="str">
        <f>IF($P523="High",$T523,IF($P523="Mix",SUMIF('High_Low Voltage Mix Summary'!$B$10:$B$17,#REF!,'High_Low Voltage Mix Summary'!$F$10:$F$17),""))</f>
        <v/>
      </c>
      <c r="Y523" s="44" t="str">
        <f>IF($P523="Low",$T523,IF($P523="Mix",SUMIF('High_Low Voltage Mix Summary'!$B$10:$B$17,#REF!,'High_Low Voltage Mix Summary'!$G$10:$G$17),""))</f>
        <v/>
      </c>
      <c r="Z523" s="44" t="str">
        <f>IF(OR($P523="High",$P523="Low"),"",IF($P523="Mix",SUMIF('High_Low Voltage Mix Summary'!$B$10:$B$17,#REF!,'High_Low Voltage Mix Summary'!$H$10:$H$17),""))</f>
        <v/>
      </c>
      <c r="AB523" s="49">
        <f>SUMIF('Antelope Bailey Split BA'!$B$7:$B$29,B523,'Antelope Bailey Split BA'!$C$7:$C$29)</f>
        <v>0</v>
      </c>
      <c r="AC523" s="49" t="str">
        <f>IF(AND(AB523=1,'Plant Total by Account'!$H$1=2),"EKWRA","")</f>
        <v/>
      </c>
    </row>
    <row r="524" spans="1:29" x14ac:dyDescent="0.2">
      <c r="A524" s="39" t="s">
        <v>2453</v>
      </c>
      <c r="B524" s="45" t="s">
        <v>645</v>
      </c>
      <c r="C524" s="40" t="s">
        <v>3333</v>
      </c>
      <c r="D524" s="53">
        <v>8170.49</v>
      </c>
      <c r="E524" s="53">
        <v>44169.75</v>
      </c>
      <c r="F524" s="53">
        <v>1056310.7600000002</v>
      </c>
      <c r="G524" s="578">
        <f t="shared" si="75"/>
        <v>1108651.0000000002</v>
      </c>
      <c r="H524" s="41"/>
      <c r="I524" s="41"/>
      <c r="J524" s="41"/>
      <c r="K524" s="41">
        <f t="shared" si="69"/>
        <v>8170.49</v>
      </c>
      <c r="L524" s="41">
        <f t="shared" si="70"/>
        <v>44169.75</v>
      </c>
      <c r="M524" s="41">
        <f t="shared" si="71"/>
        <v>1056310.7600000002</v>
      </c>
      <c r="N524" s="363">
        <f t="shared" si="76"/>
        <v>0</v>
      </c>
      <c r="O524" s="43" t="s">
        <v>3309</v>
      </c>
      <c r="P524" s="43"/>
      <c r="R524" s="41">
        <f t="shared" si="72"/>
        <v>0</v>
      </c>
      <c r="S524" s="41">
        <f t="shared" si="73"/>
        <v>0</v>
      </c>
      <c r="T524" s="41">
        <f t="shared" si="74"/>
        <v>0</v>
      </c>
      <c r="U524" s="41"/>
      <c r="V524" s="44" t="str">
        <f>IF($P524="High",$S524,IF($P524="Mix",SUMIF('High_Low Voltage Mix Summary'!$B$10:$B$17,$B377,'High_Low Voltage Mix Summary'!$D$10:$D$17),""))</f>
        <v/>
      </c>
      <c r="W524" s="44" t="str">
        <f>IF($P524="Low",$S524,IF($P524="Mix",SUMIF('High_Low Voltage Mix Summary'!$B$10:$B$17,$B377,'High_Low Voltage Mix Summary'!$E$10:$E$17),""))</f>
        <v/>
      </c>
      <c r="X524" s="44" t="str">
        <f>IF($P524="High",$T524,IF($P524="Mix",SUMIF('High_Low Voltage Mix Summary'!$B$10:$B$17,$B377,'High_Low Voltage Mix Summary'!$F$10:$F$17),""))</f>
        <v/>
      </c>
      <c r="Y524" s="44" t="str">
        <f>IF($P524="Low",$T524,IF($P524="Mix",SUMIF('High_Low Voltage Mix Summary'!$B$10:$B$17,$B377,'High_Low Voltage Mix Summary'!$G$10:$G$17),""))</f>
        <v/>
      </c>
      <c r="Z524" s="44" t="str">
        <f>IF(OR($P524="High",$P524="Low"),"",IF($P524="Mix",SUMIF('High_Low Voltage Mix Summary'!$B$10:$B$17,$B377,'High_Low Voltage Mix Summary'!$H$10:$H$17),""))</f>
        <v/>
      </c>
      <c r="AB524" s="49">
        <f>SUMIF('Antelope Bailey Split BA'!$B$7:$B$29,B524,'Antelope Bailey Split BA'!$C$7:$C$29)</f>
        <v>0</v>
      </c>
      <c r="AC524" s="49" t="str">
        <f>IF(AND(AB524=1,'Plant Total by Account'!$H$1=2),"EKWRA","")</f>
        <v/>
      </c>
    </row>
    <row r="525" spans="1:29" x14ac:dyDescent="0.2">
      <c r="A525" s="39" t="s">
        <v>3037</v>
      </c>
      <c r="B525" s="45" t="s">
        <v>646</v>
      </c>
      <c r="C525" s="40" t="s">
        <v>3333</v>
      </c>
      <c r="D525" s="53">
        <v>1511.51</v>
      </c>
      <c r="E525" s="53">
        <v>96111.7</v>
      </c>
      <c r="F525" s="53">
        <v>2683311.9999999986</v>
      </c>
      <c r="G525" s="578">
        <f t="shared" si="75"/>
        <v>2780935.2099999986</v>
      </c>
      <c r="H525" s="41"/>
      <c r="I525" s="41"/>
      <c r="J525" s="41"/>
      <c r="K525" s="41">
        <f t="shared" si="69"/>
        <v>1511.51</v>
      </c>
      <c r="L525" s="41">
        <f t="shared" si="70"/>
        <v>96111.7</v>
      </c>
      <c r="M525" s="41">
        <f t="shared" si="71"/>
        <v>2683311.9999999986</v>
      </c>
      <c r="N525" s="363">
        <f t="shared" si="76"/>
        <v>0</v>
      </c>
      <c r="O525" s="43" t="s">
        <v>3309</v>
      </c>
      <c r="P525" s="43"/>
      <c r="R525" s="41">
        <f t="shared" si="72"/>
        <v>0</v>
      </c>
      <c r="S525" s="41">
        <f t="shared" si="73"/>
        <v>0</v>
      </c>
      <c r="T525" s="41">
        <f t="shared" si="74"/>
        <v>0</v>
      </c>
      <c r="U525" s="41"/>
      <c r="V525" s="44" t="str">
        <f>IF($P525="High",$S525,IF($P525="Mix",SUMIF('High_Low Voltage Mix Summary'!$B$10:$B$17,#REF!,'High_Low Voltage Mix Summary'!$D$10:$D$17),""))</f>
        <v/>
      </c>
      <c r="W525" s="44" t="str">
        <f>IF($P525="Low",$S525,IF($P525="Mix",SUMIF('High_Low Voltage Mix Summary'!$B$10:$B$17,#REF!,'High_Low Voltage Mix Summary'!$E$10:$E$17),""))</f>
        <v/>
      </c>
      <c r="X525" s="44" t="str">
        <f>IF($P525="High",$T525,IF($P525="Mix",SUMIF('High_Low Voltage Mix Summary'!$B$10:$B$17,#REF!,'High_Low Voltage Mix Summary'!$F$10:$F$17),""))</f>
        <v/>
      </c>
      <c r="Y525" s="44" t="str">
        <f>IF($P525="Low",$T525,IF($P525="Mix",SUMIF('High_Low Voltage Mix Summary'!$B$10:$B$17,#REF!,'High_Low Voltage Mix Summary'!$G$10:$G$17),""))</f>
        <v/>
      </c>
      <c r="Z525" s="44" t="str">
        <f>IF(OR($P525="High",$P525="Low"),"",IF($P525="Mix",SUMIF('High_Low Voltage Mix Summary'!$B$10:$B$17,#REF!,'High_Low Voltage Mix Summary'!$H$10:$H$17),""))</f>
        <v/>
      </c>
      <c r="AB525" s="49">
        <f>SUMIF('Antelope Bailey Split BA'!$B$7:$B$29,B525,'Antelope Bailey Split BA'!$C$7:$C$29)</f>
        <v>0</v>
      </c>
      <c r="AC525" s="49" t="str">
        <f>IF(AND(AB525=1,'Plant Total by Account'!$H$1=2),"EKWRA","")</f>
        <v/>
      </c>
    </row>
    <row r="526" spans="1:29" x14ac:dyDescent="0.2">
      <c r="A526" s="39" t="s">
        <v>3038</v>
      </c>
      <c r="B526" s="45" t="s">
        <v>647</v>
      </c>
      <c r="C526" s="40" t="s">
        <v>3334</v>
      </c>
      <c r="D526" s="53">
        <v>1790.1000000000001</v>
      </c>
      <c r="E526" s="53">
        <v>4548.21</v>
      </c>
      <c r="F526" s="53">
        <v>567421.46</v>
      </c>
      <c r="G526" s="578">
        <f t="shared" si="75"/>
        <v>573759.77</v>
      </c>
      <c r="H526" s="41"/>
      <c r="I526" s="41"/>
      <c r="J526" s="41"/>
      <c r="K526" s="41">
        <f t="shared" ref="K526:K589" si="77">D526</f>
        <v>1790.1000000000001</v>
      </c>
      <c r="L526" s="41">
        <f t="shared" ref="L526:L589" si="78">E526</f>
        <v>4548.21</v>
      </c>
      <c r="M526" s="41">
        <f t="shared" ref="M526:M589" si="79">F526</f>
        <v>567421.46</v>
      </c>
      <c r="N526" s="363">
        <f t="shared" si="76"/>
        <v>0</v>
      </c>
      <c r="O526" s="43" t="s">
        <v>3309</v>
      </c>
      <c r="P526" s="43"/>
      <c r="R526" s="41">
        <f t="shared" si="72"/>
        <v>0</v>
      </c>
      <c r="S526" s="41">
        <f t="shared" si="73"/>
        <v>0</v>
      </c>
      <c r="T526" s="41">
        <f t="shared" si="74"/>
        <v>0</v>
      </c>
      <c r="U526" s="41"/>
      <c r="V526" s="44" t="str">
        <f>IF($P526="High",$S526,IF($P526="Mix",SUMIF('High_Low Voltage Mix Summary'!$B$10:$B$17,#REF!,'High_Low Voltage Mix Summary'!$D$10:$D$17),""))</f>
        <v/>
      </c>
      <c r="W526" s="44" t="str">
        <f>IF($P526="Low",$S526,IF($P526="Mix",SUMIF('High_Low Voltage Mix Summary'!$B$10:$B$17,#REF!,'High_Low Voltage Mix Summary'!$E$10:$E$17),""))</f>
        <v/>
      </c>
      <c r="X526" s="44" t="str">
        <f>IF($P526="High",$T526,IF($P526="Mix",SUMIF('High_Low Voltage Mix Summary'!$B$10:$B$17,#REF!,'High_Low Voltage Mix Summary'!$F$10:$F$17),""))</f>
        <v/>
      </c>
      <c r="Y526" s="44" t="str">
        <f>IF($P526="Low",$T526,IF($P526="Mix",SUMIF('High_Low Voltage Mix Summary'!$B$10:$B$17,#REF!,'High_Low Voltage Mix Summary'!$G$10:$G$17),""))</f>
        <v/>
      </c>
      <c r="Z526" s="44" t="str">
        <f>IF(OR($P526="High",$P526="Low"),"",IF($P526="Mix",SUMIF('High_Low Voltage Mix Summary'!$B$10:$B$17,#REF!,'High_Low Voltage Mix Summary'!$H$10:$H$17),""))</f>
        <v/>
      </c>
      <c r="AB526" s="49">
        <f>SUMIF('Antelope Bailey Split BA'!$B$7:$B$29,B526,'Antelope Bailey Split BA'!$C$7:$C$29)</f>
        <v>0</v>
      </c>
      <c r="AC526" s="49" t="str">
        <f>IF(AND(AB526=1,'Plant Total by Account'!$H$1=2),"EKWRA","")</f>
        <v/>
      </c>
    </row>
    <row r="527" spans="1:29" x14ac:dyDescent="0.2">
      <c r="A527" s="39" t="s">
        <v>3039</v>
      </c>
      <c r="B527" s="45" t="s">
        <v>648</v>
      </c>
      <c r="C527" s="40" t="s">
        <v>3333</v>
      </c>
      <c r="D527" s="53">
        <v>15753.59</v>
      </c>
      <c r="E527" s="53">
        <v>47377.17</v>
      </c>
      <c r="F527" s="53">
        <v>871616.18999999983</v>
      </c>
      <c r="G527" s="578">
        <f t="shared" si="75"/>
        <v>934746.94999999984</v>
      </c>
      <c r="H527" s="41"/>
      <c r="I527" s="41"/>
      <c r="J527" s="41"/>
      <c r="K527" s="41">
        <f t="shared" si="77"/>
        <v>15753.59</v>
      </c>
      <c r="L527" s="41">
        <f t="shared" si="78"/>
        <v>47377.17</v>
      </c>
      <c r="M527" s="41">
        <f t="shared" si="79"/>
        <v>871616.18999999983</v>
      </c>
      <c r="N527" s="363">
        <f t="shared" si="76"/>
        <v>0</v>
      </c>
      <c r="O527" s="43" t="s">
        <v>3309</v>
      </c>
      <c r="P527" s="43"/>
      <c r="R527" s="41">
        <f t="shared" si="72"/>
        <v>0</v>
      </c>
      <c r="S527" s="41">
        <f t="shared" si="73"/>
        <v>0</v>
      </c>
      <c r="T527" s="41">
        <f t="shared" si="74"/>
        <v>0</v>
      </c>
      <c r="U527" s="41"/>
      <c r="V527" s="44" t="str">
        <f>IF($P527="High",$S527,IF($P527="Mix",SUMIF('High_Low Voltage Mix Summary'!$B$10:$B$17,$B383,'High_Low Voltage Mix Summary'!$D$10:$D$17),""))</f>
        <v/>
      </c>
      <c r="W527" s="44" t="str">
        <f>IF($P527="Low",$S527,IF($P527="Mix",SUMIF('High_Low Voltage Mix Summary'!$B$10:$B$17,$B383,'High_Low Voltage Mix Summary'!$E$10:$E$17),""))</f>
        <v/>
      </c>
      <c r="X527" s="44" t="str">
        <f>IF($P527="High",$T527,IF($P527="Mix",SUMIF('High_Low Voltage Mix Summary'!$B$10:$B$17,$B383,'High_Low Voltage Mix Summary'!$F$10:$F$17),""))</f>
        <v/>
      </c>
      <c r="Y527" s="44" t="str">
        <f>IF($P527="Low",$T527,IF($P527="Mix",SUMIF('High_Low Voltage Mix Summary'!$B$10:$B$17,$B383,'High_Low Voltage Mix Summary'!$G$10:$G$17),""))</f>
        <v/>
      </c>
      <c r="Z527" s="44" t="str">
        <f>IF(OR($P527="High",$P527="Low"),"",IF($P527="Mix",SUMIF('High_Low Voltage Mix Summary'!$B$10:$B$17,$B383,'High_Low Voltage Mix Summary'!$H$10:$H$17),""))</f>
        <v/>
      </c>
      <c r="AB527" s="49">
        <f>SUMIF('Antelope Bailey Split BA'!$B$7:$B$29,B527,'Antelope Bailey Split BA'!$C$7:$C$29)</f>
        <v>0</v>
      </c>
      <c r="AC527" s="49" t="str">
        <f>IF(AND(AB527=1,'Plant Total by Account'!$H$1=2),"EKWRA","")</f>
        <v/>
      </c>
    </row>
    <row r="528" spans="1:29" x14ac:dyDescent="0.2">
      <c r="A528" s="39" t="s">
        <v>3040</v>
      </c>
      <c r="B528" s="45" t="s">
        <v>649</v>
      </c>
      <c r="C528" s="40" t="s">
        <v>3333</v>
      </c>
      <c r="D528" s="53">
        <v>2736.07</v>
      </c>
      <c r="E528" s="53">
        <v>64612.72</v>
      </c>
      <c r="F528" s="53">
        <v>1184227.0700000008</v>
      </c>
      <c r="G528" s="578">
        <f t="shared" si="75"/>
        <v>1251575.8600000008</v>
      </c>
      <c r="H528" s="41"/>
      <c r="I528" s="41"/>
      <c r="J528" s="41"/>
      <c r="K528" s="41">
        <f t="shared" si="77"/>
        <v>2736.07</v>
      </c>
      <c r="L528" s="41">
        <f t="shared" si="78"/>
        <v>64612.72</v>
      </c>
      <c r="M528" s="41">
        <f t="shared" si="79"/>
        <v>1184227.0700000008</v>
      </c>
      <c r="N528" s="363">
        <f t="shared" si="76"/>
        <v>0</v>
      </c>
      <c r="O528" s="43" t="s">
        <v>3309</v>
      </c>
      <c r="P528" s="43"/>
      <c r="R528" s="41">
        <f t="shared" si="72"/>
        <v>0</v>
      </c>
      <c r="S528" s="41">
        <f t="shared" si="73"/>
        <v>0</v>
      </c>
      <c r="T528" s="41">
        <f t="shared" si="74"/>
        <v>0</v>
      </c>
      <c r="U528" s="41"/>
      <c r="V528" s="44" t="str">
        <f>IF($P528="High",$S528,IF($P528="Mix",SUMIF('High_Low Voltage Mix Summary'!$B$10:$B$17,#REF!,'High_Low Voltage Mix Summary'!$D$10:$D$17),""))</f>
        <v/>
      </c>
      <c r="W528" s="44" t="str">
        <f>IF($P528="Low",$S528,IF($P528="Mix",SUMIF('High_Low Voltage Mix Summary'!$B$10:$B$17,#REF!,'High_Low Voltage Mix Summary'!$E$10:$E$17),""))</f>
        <v/>
      </c>
      <c r="X528" s="44" t="str">
        <f>IF($P528="High",$T528,IF($P528="Mix",SUMIF('High_Low Voltage Mix Summary'!$B$10:$B$17,#REF!,'High_Low Voltage Mix Summary'!$F$10:$F$17),""))</f>
        <v/>
      </c>
      <c r="Y528" s="44" t="str">
        <f>IF($P528="Low",$T528,IF($P528="Mix",SUMIF('High_Low Voltage Mix Summary'!$B$10:$B$17,#REF!,'High_Low Voltage Mix Summary'!$G$10:$G$17),""))</f>
        <v/>
      </c>
      <c r="Z528" s="44" t="str">
        <f>IF(OR($P528="High",$P528="Low"),"",IF($P528="Mix",SUMIF('High_Low Voltage Mix Summary'!$B$10:$B$17,#REF!,'High_Low Voltage Mix Summary'!$H$10:$H$17),""))</f>
        <v/>
      </c>
      <c r="AB528" s="49">
        <f>SUMIF('Antelope Bailey Split BA'!$B$7:$B$29,B528,'Antelope Bailey Split BA'!$C$7:$C$29)</f>
        <v>0</v>
      </c>
      <c r="AC528" s="49" t="str">
        <f>IF(AND(AB528=1,'Plant Total by Account'!$H$1=2),"EKWRA","")</f>
        <v/>
      </c>
    </row>
    <row r="529" spans="1:29" x14ac:dyDescent="0.2">
      <c r="A529" s="39" t="s">
        <v>3041</v>
      </c>
      <c r="B529" s="45" t="s">
        <v>650</v>
      </c>
      <c r="C529" s="40" t="s">
        <v>3334</v>
      </c>
      <c r="D529" s="53">
        <v>2066.4300000000003</v>
      </c>
      <c r="E529" s="53">
        <v>63464.920000000006</v>
      </c>
      <c r="F529" s="53">
        <v>629463.57000000007</v>
      </c>
      <c r="G529" s="578">
        <f t="shared" si="75"/>
        <v>694994.92</v>
      </c>
      <c r="H529" s="41"/>
      <c r="I529" s="41"/>
      <c r="J529" s="41"/>
      <c r="K529" s="41">
        <f t="shared" si="77"/>
        <v>2066.4300000000003</v>
      </c>
      <c r="L529" s="41">
        <f t="shared" si="78"/>
        <v>63464.920000000006</v>
      </c>
      <c r="M529" s="41">
        <f t="shared" si="79"/>
        <v>629463.57000000007</v>
      </c>
      <c r="N529" s="363">
        <f t="shared" si="76"/>
        <v>0</v>
      </c>
      <c r="O529" s="43" t="s">
        <v>3309</v>
      </c>
      <c r="P529" s="43"/>
      <c r="R529" s="41">
        <f t="shared" si="72"/>
        <v>0</v>
      </c>
      <c r="S529" s="41">
        <f t="shared" si="73"/>
        <v>0</v>
      </c>
      <c r="T529" s="41">
        <f t="shared" si="74"/>
        <v>0</v>
      </c>
      <c r="U529" s="41"/>
      <c r="V529" s="44" t="str">
        <f>IF($P529="High",$S529,IF($P529="Mix",SUMIF('High_Low Voltage Mix Summary'!$B$10:$B$17,#REF!,'High_Low Voltage Mix Summary'!$D$10:$D$17),""))</f>
        <v/>
      </c>
      <c r="W529" s="44" t="str">
        <f>IF($P529="Low",$S529,IF($P529="Mix",SUMIF('High_Low Voltage Mix Summary'!$B$10:$B$17,#REF!,'High_Low Voltage Mix Summary'!$E$10:$E$17),""))</f>
        <v/>
      </c>
      <c r="X529" s="44" t="str">
        <f>IF($P529="High",$T529,IF($P529="Mix",SUMIF('High_Low Voltage Mix Summary'!$B$10:$B$17,#REF!,'High_Low Voltage Mix Summary'!$F$10:$F$17),""))</f>
        <v/>
      </c>
      <c r="Y529" s="44" t="str">
        <f>IF($P529="Low",$T529,IF($P529="Mix",SUMIF('High_Low Voltage Mix Summary'!$B$10:$B$17,#REF!,'High_Low Voltage Mix Summary'!$G$10:$G$17),""))</f>
        <v/>
      </c>
      <c r="Z529" s="44" t="str">
        <f>IF(OR($P529="High",$P529="Low"),"",IF($P529="Mix",SUMIF('High_Low Voltage Mix Summary'!$B$10:$B$17,#REF!,'High_Low Voltage Mix Summary'!$H$10:$H$17),""))</f>
        <v/>
      </c>
      <c r="AB529" s="49">
        <f>SUMIF('Antelope Bailey Split BA'!$B$7:$B$29,B529,'Antelope Bailey Split BA'!$C$7:$C$29)</f>
        <v>0</v>
      </c>
      <c r="AC529" s="49" t="str">
        <f>IF(AND(AB529=1,'Plant Total by Account'!$H$1=2),"EKWRA","")</f>
        <v/>
      </c>
    </row>
    <row r="530" spans="1:29" x14ac:dyDescent="0.2">
      <c r="A530" s="39" t="s">
        <v>3042</v>
      </c>
      <c r="B530" s="45" t="s">
        <v>651</v>
      </c>
      <c r="C530" s="40" t="s">
        <v>3333</v>
      </c>
      <c r="D530" s="53">
        <v>1533.1500000000003</v>
      </c>
      <c r="E530" s="53">
        <v>21313.59</v>
      </c>
      <c r="F530" s="53">
        <v>700747.27000000025</v>
      </c>
      <c r="G530" s="578">
        <f t="shared" si="75"/>
        <v>723594.01000000024</v>
      </c>
      <c r="H530" s="41"/>
      <c r="I530" s="41"/>
      <c r="J530" s="41"/>
      <c r="K530" s="41">
        <f t="shared" si="77"/>
        <v>1533.1500000000003</v>
      </c>
      <c r="L530" s="41">
        <f t="shared" si="78"/>
        <v>21313.59</v>
      </c>
      <c r="M530" s="41">
        <f t="shared" si="79"/>
        <v>700747.27000000025</v>
      </c>
      <c r="N530" s="363">
        <f t="shared" si="76"/>
        <v>0</v>
      </c>
      <c r="O530" s="43" t="s">
        <v>3309</v>
      </c>
      <c r="P530" s="43"/>
      <c r="R530" s="41">
        <f t="shared" si="72"/>
        <v>0</v>
      </c>
      <c r="S530" s="41">
        <f t="shared" si="73"/>
        <v>0</v>
      </c>
      <c r="T530" s="41">
        <f t="shared" si="74"/>
        <v>0</v>
      </c>
      <c r="U530" s="41"/>
      <c r="V530" s="44" t="str">
        <f>IF($P530="High",$S530,IF($P530="Mix",SUMIF('High_Low Voltage Mix Summary'!$B$10:$B$17,$B384,'High_Low Voltage Mix Summary'!$D$10:$D$17),""))</f>
        <v/>
      </c>
      <c r="W530" s="44" t="str">
        <f>IF($P530="Low",$S530,IF($P530="Mix",SUMIF('High_Low Voltage Mix Summary'!$B$10:$B$17,$B384,'High_Low Voltage Mix Summary'!$E$10:$E$17),""))</f>
        <v/>
      </c>
      <c r="X530" s="44" t="str">
        <f>IF($P530="High",$T530,IF($P530="Mix",SUMIF('High_Low Voltage Mix Summary'!$B$10:$B$17,$B384,'High_Low Voltage Mix Summary'!$F$10:$F$17),""))</f>
        <v/>
      </c>
      <c r="Y530" s="44" t="str">
        <f>IF($P530="Low",$T530,IF($P530="Mix",SUMIF('High_Low Voltage Mix Summary'!$B$10:$B$17,$B384,'High_Low Voltage Mix Summary'!$G$10:$G$17),""))</f>
        <v/>
      </c>
      <c r="Z530" s="44" t="str">
        <f>IF(OR($P530="High",$P530="Low"),"",IF($P530="Mix",SUMIF('High_Low Voltage Mix Summary'!$B$10:$B$17,$B384,'High_Low Voltage Mix Summary'!$H$10:$H$17),""))</f>
        <v/>
      </c>
      <c r="AB530" s="49">
        <f>SUMIF('Antelope Bailey Split BA'!$B$7:$B$29,B530,'Antelope Bailey Split BA'!$C$7:$C$29)</f>
        <v>0</v>
      </c>
      <c r="AC530" s="49" t="str">
        <f>IF(AND(AB530=1,'Plant Total by Account'!$H$1=2),"EKWRA","")</f>
        <v/>
      </c>
    </row>
    <row r="531" spans="1:29" x14ac:dyDescent="0.2">
      <c r="A531" s="39" t="s">
        <v>3043</v>
      </c>
      <c r="B531" s="45" t="s">
        <v>652</v>
      </c>
      <c r="C531" s="40" t="s">
        <v>3333</v>
      </c>
      <c r="D531" s="53">
        <v>2318.7400000000002</v>
      </c>
      <c r="E531" s="53">
        <v>81831.99000000002</v>
      </c>
      <c r="F531" s="53">
        <v>2851715.4000000004</v>
      </c>
      <c r="G531" s="578">
        <f t="shared" si="75"/>
        <v>2935866.1300000004</v>
      </c>
      <c r="H531" s="41"/>
      <c r="I531" s="41"/>
      <c r="J531" s="41"/>
      <c r="K531" s="41">
        <f t="shared" si="77"/>
        <v>2318.7400000000002</v>
      </c>
      <c r="L531" s="41">
        <f t="shared" si="78"/>
        <v>81831.99000000002</v>
      </c>
      <c r="M531" s="41">
        <f t="shared" si="79"/>
        <v>2851715.4000000004</v>
      </c>
      <c r="N531" s="363">
        <f t="shared" si="76"/>
        <v>0</v>
      </c>
      <c r="O531" s="43" t="s">
        <v>3309</v>
      </c>
      <c r="P531" s="43"/>
      <c r="R531" s="41">
        <f t="shared" si="72"/>
        <v>0</v>
      </c>
      <c r="S531" s="41">
        <f t="shared" si="73"/>
        <v>0</v>
      </c>
      <c r="T531" s="41">
        <f t="shared" si="74"/>
        <v>0</v>
      </c>
      <c r="U531" s="41"/>
      <c r="V531" s="44" t="str">
        <f>IF($P531="High",$S531,IF($P531="Mix",SUMIF('High_Low Voltage Mix Summary'!$B$10:$B$17,#REF!,'High_Low Voltage Mix Summary'!$D$10:$D$17),""))</f>
        <v/>
      </c>
      <c r="W531" s="44" t="str">
        <f>IF($P531="Low",$S531,IF($P531="Mix",SUMIF('High_Low Voltage Mix Summary'!$B$10:$B$17,#REF!,'High_Low Voltage Mix Summary'!$E$10:$E$17),""))</f>
        <v/>
      </c>
      <c r="X531" s="44" t="str">
        <f>IF($P531="High",$T531,IF($P531="Mix",SUMIF('High_Low Voltage Mix Summary'!$B$10:$B$17,#REF!,'High_Low Voltage Mix Summary'!$F$10:$F$17),""))</f>
        <v/>
      </c>
      <c r="Y531" s="44" t="str">
        <f>IF($P531="Low",$T531,IF($P531="Mix",SUMIF('High_Low Voltage Mix Summary'!$B$10:$B$17,#REF!,'High_Low Voltage Mix Summary'!$G$10:$G$17),""))</f>
        <v/>
      </c>
      <c r="Z531" s="44" t="str">
        <f>IF(OR($P531="High",$P531="Low"),"",IF($P531="Mix",SUMIF('High_Low Voltage Mix Summary'!$B$10:$B$17,#REF!,'High_Low Voltage Mix Summary'!$H$10:$H$17),""))</f>
        <v/>
      </c>
      <c r="AB531" s="49">
        <f>SUMIF('Antelope Bailey Split BA'!$B$7:$B$29,B531,'Antelope Bailey Split BA'!$C$7:$C$29)</f>
        <v>0</v>
      </c>
      <c r="AC531" s="49" t="str">
        <f>IF(AND(AB531=1,'Plant Total by Account'!$H$1=2),"EKWRA","")</f>
        <v/>
      </c>
    </row>
    <row r="532" spans="1:29" x14ac:dyDescent="0.2">
      <c r="A532" s="39" t="s">
        <v>3044</v>
      </c>
      <c r="B532" s="45" t="s">
        <v>653</v>
      </c>
      <c r="C532" s="40" t="s">
        <v>3334</v>
      </c>
      <c r="D532" s="53">
        <v>176528.19000000003</v>
      </c>
      <c r="E532" s="53">
        <v>310770.24999999994</v>
      </c>
      <c r="F532" s="53">
        <v>1621784.37</v>
      </c>
      <c r="G532" s="578">
        <f t="shared" si="75"/>
        <v>2109082.81</v>
      </c>
      <c r="H532" s="41"/>
      <c r="I532" s="41"/>
      <c r="J532" s="41"/>
      <c r="K532" s="41">
        <f t="shared" si="77"/>
        <v>176528.19000000003</v>
      </c>
      <c r="L532" s="41">
        <f t="shared" si="78"/>
        <v>310770.24999999994</v>
      </c>
      <c r="M532" s="41">
        <f t="shared" si="79"/>
        <v>1621784.37</v>
      </c>
      <c r="N532" s="363">
        <f t="shared" si="76"/>
        <v>0</v>
      </c>
      <c r="O532" s="43" t="s">
        <v>3309</v>
      </c>
      <c r="P532" s="43"/>
      <c r="R532" s="41">
        <f t="shared" si="72"/>
        <v>0</v>
      </c>
      <c r="S532" s="41">
        <f t="shared" si="73"/>
        <v>0</v>
      </c>
      <c r="T532" s="41">
        <f t="shared" si="74"/>
        <v>0</v>
      </c>
      <c r="U532" s="41"/>
      <c r="V532" s="44" t="str">
        <f>IF($P532="High",$S532,IF($P532="Mix",SUMIF('High_Low Voltage Mix Summary'!$B$10:$B$17,#REF!,'High_Low Voltage Mix Summary'!$D$10:$D$17),""))</f>
        <v/>
      </c>
      <c r="W532" s="44" t="str">
        <f>IF($P532="Low",$S532,IF($P532="Mix",SUMIF('High_Low Voltage Mix Summary'!$B$10:$B$17,#REF!,'High_Low Voltage Mix Summary'!$E$10:$E$17),""))</f>
        <v/>
      </c>
      <c r="X532" s="44" t="str">
        <f>IF($P532="High",$T532,IF($P532="Mix",SUMIF('High_Low Voltage Mix Summary'!$B$10:$B$17,#REF!,'High_Low Voltage Mix Summary'!$F$10:$F$17),""))</f>
        <v/>
      </c>
      <c r="Y532" s="44" t="str">
        <f>IF($P532="Low",$T532,IF($P532="Mix",SUMIF('High_Low Voltage Mix Summary'!$B$10:$B$17,#REF!,'High_Low Voltage Mix Summary'!$G$10:$G$17),""))</f>
        <v/>
      </c>
      <c r="Z532" s="44" t="str">
        <f>IF(OR($P532="High",$P532="Low"),"",IF($P532="Mix",SUMIF('High_Low Voltage Mix Summary'!$B$10:$B$17,#REF!,'High_Low Voltage Mix Summary'!$H$10:$H$17),""))</f>
        <v/>
      </c>
      <c r="AB532" s="49">
        <f>SUMIF('Antelope Bailey Split BA'!$B$7:$B$29,B532,'Antelope Bailey Split BA'!$C$7:$C$29)</f>
        <v>0</v>
      </c>
      <c r="AC532" s="49" t="str">
        <f>IF(AND(AB532=1,'Plant Total by Account'!$H$1=2),"EKWRA","")</f>
        <v/>
      </c>
    </row>
    <row r="533" spans="1:29" x14ac:dyDescent="0.2">
      <c r="A533" s="39" t="s">
        <v>3045</v>
      </c>
      <c r="B533" s="45" t="s">
        <v>654</v>
      </c>
      <c r="C533" s="40" t="s">
        <v>3334</v>
      </c>
      <c r="D533" s="53">
        <v>18869.22</v>
      </c>
      <c r="E533" s="53">
        <v>96246.16</v>
      </c>
      <c r="F533" s="53">
        <v>1717729.8200000008</v>
      </c>
      <c r="G533" s="578">
        <f t="shared" si="75"/>
        <v>1832845.2000000007</v>
      </c>
      <c r="H533" s="41"/>
      <c r="I533" s="41"/>
      <c r="J533" s="41"/>
      <c r="K533" s="41">
        <f t="shared" si="77"/>
        <v>18869.22</v>
      </c>
      <c r="L533" s="41">
        <f t="shared" si="78"/>
        <v>96246.16</v>
      </c>
      <c r="M533" s="41">
        <f t="shared" si="79"/>
        <v>1717729.8200000008</v>
      </c>
      <c r="N533" s="363">
        <f t="shared" si="76"/>
        <v>0</v>
      </c>
      <c r="O533" s="43" t="s">
        <v>3309</v>
      </c>
      <c r="P533" s="43"/>
      <c r="R533" s="41">
        <f t="shared" si="72"/>
        <v>0</v>
      </c>
      <c r="S533" s="41">
        <f t="shared" si="73"/>
        <v>0</v>
      </c>
      <c r="T533" s="41">
        <f t="shared" si="74"/>
        <v>0</v>
      </c>
      <c r="U533" s="41"/>
      <c r="V533" s="44" t="str">
        <f>IF($P533="High",$S533,IF($P533="Mix",SUMIF('High_Low Voltage Mix Summary'!$B$10:$B$17,$B385,'High_Low Voltage Mix Summary'!$D$10:$D$17),""))</f>
        <v/>
      </c>
      <c r="W533" s="44" t="str">
        <f>IF($P533="Low",$S533,IF($P533="Mix",SUMIF('High_Low Voltage Mix Summary'!$B$10:$B$17,$B385,'High_Low Voltage Mix Summary'!$E$10:$E$17),""))</f>
        <v/>
      </c>
      <c r="X533" s="44" t="str">
        <f>IF($P533="High",$T533,IF($P533="Mix",SUMIF('High_Low Voltage Mix Summary'!$B$10:$B$17,$B385,'High_Low Voltage Mix Summary'!$F$10:$F$17),""))</f>
        <v/>
      </c>
      <c r="Y533" s="44" t="str">
        <f>IF($P533="Low",$T533,IF($P533="Mix",SUMIF('High_Low Voltage Mix Summary'!$B$10:$B$17,$B385,'High_Low Voltage Mix Summary'!$G$10:$G$17),""))</f>
        <v/>
      </c>
      <c r="Z533" s="44" t="str">
        <f>IF(OR($P533="High",$P533="Low"),"",IF($P533="Mix",SUMIF('High_Low Voltage Mix Summary'!$B$10:$B$17,$B385,'High_Low Voltage Mix Summary'!$H$10:$H$17),""))</f>
        <v/>
      </c>
      <c r="AB533" s="49">
        <f>SUMIF('Antelope Bailey Split BA'!$B$7:$B$29,B533,'Antelope Bailey Split BA'!$C$7:$C$29)</f>
        <v>0</v>
      </c>
      <c r="AC533" s="49" t="str">
        <f>IF(AND(AB533=1,'Plant Total by Account'!$H$1=2),"EKWRA","")</f>
        <v/>
      </c>
    </row>
    <row r="534" spans="1:29" x14ac:dyDescent="0.2">
      <c r="A534" s="39" t="s">
        <v>2454</v>
      </c>
      <c r="B534" s="45" t="s">
        <v>655</v>
      </c>
      <c r="C534" s="40" t="s">
        <v>3333</v>
      </c>
      <c r="D534" s="53">
        <v>4643.79</v>
      </c>
      <c r="E534" s="53">
        <v>58873.470000000008</v>
      </c>
      <c r="F534" s="53">
        <v>795919.38000000035</v>
      </c>
      <c r="G534" s="578">
        <f t="shared" si="75"/>
        <v>859436.64000000036</v>
      </c>
      <c r="H534" s="41"/>
      <c r="I534" s="41"/>
      <c r="J534" s="41"/>
      <c r="K534" s="41">
        <f t="shared" si="77"/>
        <v>4643.79</v>
      </c>
      <c r="L534" s="41">
        <f t="shared" si="78"/>
        <v>58873.470000000008</v>
      </c>
      <c r="M534" s="41">
        <f t="shared" si="79"/>
        <v>795919.38000000035</v>
      </c>
      <c r="N534" s="363">
        <f t="shared" si="76"/>
        <v>0</v>
      </c>
      <c r="O534" s="43" t="s">
        <v>3309</v>
      </c>
      <c r="P534" s="43"/>
      <c r="R534" s="41">
        <f t="shared" si="72"/>
        <v>0</v>
      </c>
      <c r="S534" s="41">
        <f t="shared" si="73"/>
        <v>0</v>
      </c>
      <c r="T534" s="41">
        <f t="shared" si="74"/>
        <v>0</v>
      </c>
      <c r="U534" s="41"/>
      <c r="V534" s="44" t="str">
        <f>IF($P534="High",$S534,IF($P534="Mix",SUMIF('High_Low Voltage Mix Summary'!$B$10:$B$17,$B386,'High_Low Voltage Mix Summary'!$D$10:$D$17),""))</f>
        <v/>
      </c>
      <c r="W534" s="44" t="str">
        <f>IF($P534="Low",$S534,IF($P534="Mix",SUMIF('High_Low Voltage Mix Summary'!$B$10:$B$17,$B386,'High_Low Voltage Mix Summary'!$E$10:$E$17),""))</f>
        <v/>
      </c>
      <c r="X534" s="44" t="str">
        <f>IF($P534="High",$T534,IF($P534="Mix",SUMIF('High_Low Voltage Mix Summary'!$B$10:$B$17,$B386,'High_Low Voltage Mix Summary'!$F$10:$F$17),""))</f>
        <v/>
      </c>
      <c r="Y534" s="44" t="str">
        <f>IF($P534="Low",$T534,IF($P534="Mix",SUMIF('High_Low Voltage Mix Summary'!$B$10:$B$17,$B386,'High_Low Voltage Mix Summary'!$G$10:$G$17),""))</f>
        <v/>
      </c>
      <c r="Z534" s="44" t="str">
        <f>IF(OR($P534="High",$P534="Low"),"",IF($P534="Mix",SUMIF('High_Low Voltage Mix Summary'!$B$10:$B$17,$B386,'High_Low Voltage Mix Summary'!$H$10:$H$17),""))</f>
        <v/>
      </c>
      <c r="AB534" s="49">
        <f>SUMIF('Antelope Bailey Split BA'!$B$7:$B$29,B534,'Antelope Bailey Split BA'!$C$7:$C$29)</f>
        <v>0</v>
      </c>
      <c r="AC534" s="49" t="str">
        <f>IF(AND(AB534=1,'Plant Total by Account'!$H$1=2),"EKWRA","")</f>
        <v/>
      </c>
    </row>
    <row r="535" spans="1:29" x14ac:dyDescent="0.2">
      <c r="A535" s="39" t="s">
        <v>3046</v>
      </c>
      <c r="B535" s="45" t="s">
        <v>656</v>
      </c>
      <c r="C535" s="40" t="s">
        <v>3334</v>
      </c>
      <c r="D535" s="53">
        <v>0</v>
      </c>
      <c r="E535" s="53">
        <v>1433.44</v>
      </c>
      <c r="F535" s="53">
        <v>132865.18</v>
      </c>
      <c r="G535" s="578">
        <f t="shared" si="75"/>
        <v>134298.62</v>
      </c>
      <c r="H535" s="41"/>
      <c r="I535" s="41"/>
      <c r="J535" s="41"/>
      <c r="K535" s="41">
        <f t="shared" si="77"/>
        <v>0</v>
      </c>
      <c r="L535" s="41">
        <f t="shared" si="78"/>
        <v>1433.44</v>
      </c>
      <c r="M535" s="41">
        <f t="shared" si="79"/>
        <v>132865.18</v>
      </c>
      <c r="N535" s="363">
        <f t="shared" si="76"/>
        <v>0</v>
      </c>
      <c r="O535" s="43" t="s">
        <v>3309</v>
      </c>
      <c r="P535" s="43"/>
      <c r="R535" s="41">
        <f t="shared" si="72"/>
        <v>0</v>
      </c>
      <c r="S535" s="41">
        <f t="shared" si="73"/>
        <v>0</v>
      </c>
      <c r="T535" s="41">
        <f t="shared" si="74"/>
        <v>0</v>
      </c>
      <c r="U535" s="41"/>
      <c r="V535" s="44" t="str">
        <f>IF($P535="High",$S535,IF($P535="Mix",SUMIF('High_Low Voltage Mix Summary'!$B$10:$B$17,#REF!,'High_Low Voltage Mix Summary'!$D$10:$D$17),""))</f>
        <v/>
      </c>
      <c r="W535" s="44" t="str">
        <f>IF($P535="Low",$S535,IF($P535="Mix",SUMIF('High_Low Voltage Mix Summary'!$B$10:$B$17,#REF!,'High_Low Voltage Mix Summary'!$E$10:$E$17),""))</f>
        <v/>
      </c>
      <c r="X535" s="44" t="str">
        <f>IF($P535="High",$T535,IF($P535="Mix",SUMIF('High_Low Voltage Mix Summary'!$B$10:$B$17,#REF!,'High_Low Voltage Mix Summary'!$F$10:$F$17),""))</f>
        <v/>
      </c>
      <c r="Y535" s="44" t="str">
        <f>IF($P535="Low",$T535,IF($P535="Mix",SUMIF('High_Low Voltage Mix Summary'!$B$10:$B$17,#REF!,'High_Low Voltage Mix Summary'!$G$10:$G$17),""))</f>
        <v/>
      </c>
      <c r="Z535" s="44" t="str">
        <f>IF(OR($P535="High",$P535="Low"),"",IF($P535="Mix",SUMIF('High_Low Voltage Mix Summary'!$B$10:$B$17,#REF!,'High_Low Voltage Mix Summary'!$H$10:$H$17),""))</f>
        <v/>
      </c>
      <c r="AB535" s="49">
        <f>SUMIF('Antelope Bailey Split BA'!$B$7:$B$29,B535,'Antelope Bailey Split BA'!$C$7:$C$29)</f>
        <v>0</v>
      </c>
      <c r="AC535" s="49" t="str">
        <f>IF(AND(AB535=1,'Plant Total by Account'!$H$1=2),"EKWRA","")</f>
        <v/>
      </c>
    </row>
    <row r="536" spans="1:29" x14ac:dyDescent="0.2">
      <c r="A536" s="39" t="s">
        <v>3047</v>
      </c>
      <c r="B536" s="45" t="s">
        <v>657</v>
      </c>
      <c r="C536" s="40" t="s">
        <v>3334</v>
      </c>
      <c r="D536" s="53">
        <v>0</v>
      </c>
      <c r="E536" s="53">
        <v>1441.24</v>
      </c>
      <c r="F536" s="53">
        <v>130906.82</v>
      </c>
      <c r="G536" s="578">
        <f t="shared" si="75"/>
        <v>132348.06</v>
      </c>
      <c r="H536" s="41"/>
      <c r="I536" s="41"/>
      <c r="J536" s="41"/>
      <c r="K536" s="41">
        <f t="shared" si="77"/>
        <v>0</v>
      </c>
      <c r="L536" s="41">
        <f t="shared" si="78"/>
        <v>1441.24</v>
      </c>
      <c r="M536" s="41">
        <f t="shared" si="79"/>
        <v>130906.82</v>
      </c>
      <c r="N536" s="363">
        <f t="shared" si="76"/>
        <v>0</v>
      </c>
      <c r="O536" s="43" t="s">
        <v>3309</v>
      </c>
      <c r="P536" s="43"/>
      <c r="R536" s="41">
        <f t="shared" si="72"/>
        <v>0</v>
      </c>
      <c r="S536" s="41">
        <f t="shared" si="73"/>
        <v>0</v>
      </c>
      <c r="T536" s="41">
        <f t="shared" si="74"/>
        <v>0</v>
      </c>
      <c r="U536" s="41"/>
      <c r="V536" s="44" t="str">
        <f>IF($P536="High",$S536,IF($P536="Mix",SUMIF('High_Low Voltage Mix Summary'!$B$10:$B$17,$B387,'High_Low Voltage Mix Summary'!$D$10:$D$17),""))</f>
        <v/>
      </c>
      <c r="W536" s="44" t="str">
        <f>IF($P536="Low",$S536,IF($P536="Mix",SUMIF('High_Low Voltage Mix Summary'!$B$10:$B$17,$B387,'High_Low Voltage Mix Summary'!$E$10:$E$17),""))</f>
        <v/>
      </c>
      <c r="X536" s="44" t="str">
        <f>IF($P536="High",$T536,IF($P536="Mix",SUMIF('High_Low Voltage Mix Summary'!$B$10:$B$17,$B387,'High_Low Voltage Mix Summary'!$F$10:$F$17),""))</f>
        <v/>
      </c>
      <c r="Y536" s="44" t="str">
        <f>IF($P536="Low",$T536,IF($P536="Mix",SUMIF('High_Low Voltage Mix Summary'!$B$10:$B$17,$B387,'High_Low Voltage Mix Summary'!$G$10:$G$17),""))</f>
        <v/>
      </c>
      <c r="Z536" s="44" t="str">
        <f>IF(OR($P536="High",$P536="Low"),"",IF($P536="Mix",SUMIF('High_Low Voltage Mix Summary'!$B$10:$B$17,$B387,'High_Low Voltage Mix Summary'!$H$10:$H$17),""))</f>
        <v/>
      </c>
      <c r="AB536" s="49">
        <f>SUMIF('Antelope Bailey Split BA'!$B$7:$B$29,B536,'Antelope Bailey Split BA'!$C$7:$C$29)</f>
        <v>0</v>
      </c>
      <c r="AC536" s="49" t="str">
        <f>IF(AND(AB536=1,'Plant Total by Account'!$H$1=2),"EKWRA","")</f>
        <v/>
      </c>
    </row>
    <row r="537" spans="1:29" x14ac:dyDescent="0.2">
      <c r="A537" s="39" t="s">
        <v>3048</v>
      </c>
      <c r="B537" s="45" t="s">
        <v>658</v>
      </c>
      <c r="C537" s="40" t="s">
        <v>3333</v>
      </c>
      <c r="D537" s="53">
        <v>11495.640000000001</v>
      </c>
      <c r="E537" s="53">
        <v>61360.709999999992</v>
      </c>
      <c r="F537" s="53">
        <v>1138612.1099999996</v>
      </c>
      <c r="G537" s="578">
        <f t="shared" si="75"/>
        <v>1211468.4599999997</v>
      </c>
      <c r="H537" s="41"/>
      <c r="I537" s="41"/>
      <c r="J537" s="41"/>
      <c r="K537" s="41">
        <f t="shared" si="77"/>
        <v>11495.640000000001</v>
      </c>
      <c r="L537" s="41">
        <f t="shared" si="78"/>
        <v>61360.709999999992</v>
      </c>
      <c r="M537" s="41">
        <f t="shared" si="79"/>
        <v>1138612.1099999996</v>
      </c>
      <c r="N537" s="363">
        <f t="shared" si="76"/>
        <v>0</v>
      </c>
      <c r="O537" s="43" t="s">
        <v>3309</v>
      </c>
      <c r="P537" s="43"/>
      <c r="R537" s="41">
        <f t="shared" si="72"/>
        <v>0</v>
      </c>
      <c r="S537" s="41">
        <f t="shared" si="73"/>
        <v>0</v>
      </c>
      <c r="T537" s="41">
        <f t="shared" si="74"/>
        <v>0</v>
      </c>
      <c r="U537" s="41"/>
      <c r="V537" s="44" t="str">
        <f>IF($P537="High",$S537,IF($P537="Mix",SUMIF('High_Low Voltage Mix Summary'!$B$10:$B$17,$B388,'High_Low Voltage Mix Summary'!$D$10:$D$17),""))</f>
        <v/>
      </c>
      <c r="W537" s="44" t="str">
        <f>IF($P537="Low",$S537,IF($P537="Mix",SUMIF('High_Low Voltage Mix Summary'!$B$10:$B$17,$B388,'High_Low Voltage Mix Summary'!$E$10:$E$17),""))</f>
        <v/>
      </c>
      <c r="X537" s="44" t="str">
        <f>IF($P537="High",$T537,IF($P537="Mix",SUMIF('High_Low Voltage Mix Summary'!$B$10:$B$17,$B388,'High_Low Voltage Mix Summary'!$F$10:$F$17),""))</f>
        <v/>
      </c>
      <c r="Y537" s="44" t="str">
        <f>IF($P537="Low",$T537,IF($P537="Mix",SUMIF('High_Low Voltage Mix Summary'!$B$10:$B$17,$B388,'High_Low Voltage Mix Summary'!$G$10:$G$17),""))</f>
        <v/>
      </c>
      <c r="Z537" s="44" t="str">
        <f>IF(OR($P537="High",$P537="Low"),"",IF($P537="Mix",SUMIF('High_Low Voltage Mix Summary'!$B$10:$B$17,$B388,'High_Low Voltage Mix Summary'!$H$10:$H$17),""))</f>
        <v/>
      </c>
      <c r="AB537" s="49">
        <f>SUMIF('Antelope Bailey Split BA'!$B$7:$B$29,B537,'Antelope Bailey Split BA'!$C$7:$C$29)</f>
        <v>0</v>
      </c>
      <c r="AC537" s="49" t="str">
        <f>IF(AND(AB537=1,'Plant Total by Account'!$H$1=2),"EKWRA","")</f>
        <v/>
      </c>
    </row>
    <row r="538" spans="1:29" x14ac:dyDescent="0.2">
      <c r="A538" s="39" t="s">
        <v>3049</v>
      </c>
      <c r="B538" s="45" t="s">
        <v>659</v>
      </c>
      <c r="C538" s="40" t="s">
        <v>3333</v>
      </c>
      <c r="D538" s="53">
        <v>0</v>
      </c>
      <c r="E538" s="53">
        <v>13108.18</v>
      </c>
      <c r="F538" s="53">
        <v>241188.69999999998</v>
      </c>
      <c r="G538" s="578">
        <f t="shared" si="75"/>
        <v>254296.87999999998</v>
      </c>
      <c r="H538" s="41"/>
      <c r="I538" s="41"/>
      <c r="J538" s="41"/>
      <c r="K538" s="41">
        <f t="shared" si="77"/>
        <v>0</v>
      </c>
      <c r="L538" s="41">
        <f t="shared" si="78"/>
        <v>13108.18</v>
      </c>
      <c r="M538" s="41">
        <f t="shared" si="79"/>
        <v>241188.69999999998</v>
      </c>
      <c r="N538" s="363">
        <f t="shared" si="76"/>
        <v>0</v>
      </c>
      <c r="O538" s="43" t="s">
        <v>3309</v>
      </c>
      <c r="P538" s="43"/>
      <c r="R538" s="41">
        <f t="shared" si="72"/>
        <v>0</v>
      </c>
      <c r="S538" s="41">
        <f t="shared" si="73"/>
        <v>0</v>
      </c>
      <c r="T538" s="41">
        <f t="shared" si="74"/>
        <v>0</v>
      </c>
      <c r="U538" s="41"/>
      <c r="V538" s="44" t="str">
        <f>IF($P538="High",$S538,IF($P538="Mix",SUMIF('High_Low Voltage Mix Summary'!$B$10:$B$17,#REF!,'High_Low Voltage Mix Summary'!$D$10:$D$17),""))</f>
        <v/>
      </c>
      <c r="W538" s="44" t="str">
        <f>IF($P538="Low",$S538,IF($P538="Mix",SUMIF('High_Low Voltage Mix Summary'!$B$10:$B$17,#REF!,'High_Low Voltage Mix Summary'!$E$10:$E$17),""))</f>
        <v/>
      </c>
      <c r="X538" s="44" t="str">
        <f>IF($P538="High",$T538,IF($P538="Mix",SUMIF('High_Low Voltage Mix Summary'!$B$10:$B$17,#REF!,'High_Low Voltage Mix Summary'!$F$10:$F$17),""))</f>
        <v/>
      </c>
      <c r="Y538" s="44" t="str">
        <f>IF($P538="Low",$T538,IF($P538="Mix",SUMIF('High_Low Voltage Mix Summary'!$B$10:$B$17,#REF!,'High_Low Voltage Mix Summary'!$G$10:$G$17),""))</f>
        <v/>
      </c>
      <c r="Z538" s="44" t="str">
        <f>IF(OR($P538="High",$P538="Low"),"",IF($P538="Mix",SUMIF('High_Low Voltage Mix Summary'!$B$10:$B$17,#REF!,'High_Low Voltage Mix Summary'!$H$10:$H$17),""))</f>
        <v/>
      </c>
      <c r="AB538" s="49">
        <f>SUMIF('Antelope Bailey Split BA'!$B$7:$B$29,B538,'Antelope Bailey Split BA'!$C$7:$C$29)</f>
        <v>0</v>
      </c>
      <c r="AC538" s="49" t="str">
        <f>IF(AND(AB538=1,'Plant Total by Account'!$H$1=2),"EKWRA","")</f>
        <v/>
      </c>
    </row>
    <row r="539" spans="1:29" x14ac:dyDescent="0.2">
      <c r="A539" s="39" t="s">
        <v>3050</v>
      </c>
      <c r="B539" s="45" t="s">
        <v>660</v>
      </c>
      <c r="C539" s="40" t="s">
        <v>3334</v>
      </c>
      <c r="D539" s="53">
        <v>1000</v>
      </c>
      <c r="E539" s="53">
        <v>5047.3100000000004</v>
      </c>
      <c r="F539" s="53">
        <v>18017.61</v>
      </c>
      <c r="G539" s="578">
        <f t="shared" si="75"/>
        <v>24064.920000000002</v>
      </c>
      <c r="H539" s="41"/>
      <c r="I539" s="41"/>
      <c r="J539" s="41"/>
      <c r="K539" s="41">
        <f t="shared" si="77"/>
        <v>1000</v>
      </c>
      <c r="L539" s="41">
        <f t="shared" si="78"/>
        <v>5047.3100000000004</v>
      </c>
      <c r="M539" s="41">
        <f t="shared" si="79"/>
        <v>18017.61</v>
      </c>
      <c r="N539" s="363">
        <f t="shared" si="76"/>
        <v>0</v>
      </c>
      <c r="O539" s="43" t="s">
        <v>3309</v>
      </c>
      <c r="P539" s="43"/>
      <c r="R539" s="41">
        <f t="shared" si="72"/>
        <v>0</v>
      </c>
      <c r="S539" s="41">
        <f t="shared" si="73"/>
        <v>0</v>
      </c>
      <c r="T539" s="41">
        <f t="shared" si="74"/>
        <v>0</v>
      </c>
      <c r="U539" s="41"/>
      <c r="V539" s="44" t="str">
        <f>IF($P539="High",$S539,IF($P539="Mix",SUMIF('High_Low Voltage Mix Summary'!$B$10:$B$17,#REF!,'High_Low Voltage Mix Summary'!$D$10:$D$17),""))</f>
        <v/>
      </c>
      <c r="W539" s="44" t="str">
        <f>IF($P539="Low",$S539,IF($P539="Mix",SUMIF('High_Low Voltage Mix Summary'!$B$10:$B$17,#REF!,'High_Low Voltage Mix Summary'!$E$10:$E$17),""))</f>
        <v/>
      </c>
      <c r="X539" s="44" t="str">
        <f>IF($P539="High",$T539,IF($P539="Mix",SUMIF('High_Low Voltage Mix Summary'!$B$10:$B$17,#REF!,'High_Low Voltage Mix Summary'!$F$10:$F$17),""))</f>
        <v/>
      </c>
      <c r="Y539" s="44" t="str">
        <f>IF($P539="Low",$T539,IF($P539="Mix",SUMIF('High_Low Voltage Mix Summary'!$B$10:$B$17,#REF!,'High_Low Voltage Mix Summary'!$G$10:$G$17),""))</f>
        <v/>
      </c>
      <c r="Z539" s="44" t="str">
        <f>IF(OR($P539="High",$P539="Low"),"",IF($P539="Mix",SUMIF('High_Low Voltage Mix Summary'!$B$10:$B$17,#REF!,'High_Low Voltage Mix Summary'!$H$10:$H$17),""))</f>
        <v/>
      </c>
      <c r="AB539" s="49">
        <f>SUMIF('Antelope Bailey Split BA'!$B$7:$B$29,B539,'Antelope Bailey Split BA'!$C$7:$C$29)</f>
        <v>0</v>
      </c>
      <c r="AC539" s="49" t="str">
        <f>IF(AND(AB539=1,'Plant Total by Account'!$H$1=2),"EKWRA","")</f>
        <v/>
      </c>
    </row>
    <row r="540" spans="1:29" x14ac:dyDescent="0.2">
      <c r="A540" s="39" t="s">
        <v>3051</v>
      </c>
      <c r="B540" s="45" t="s">
        <v>661</v>
      </c>
      <c r="C540" s="40" t="s">
        <v>3334</v>
      </c>
      <c r="D540" s="53">
        <v>21799.83</v>
      </c>
      <c r="E540" s="53">
        <v>63721.560000000005</v>
      </c>
      <c r="F540" s="53">
        <v>2166931.9900000002</v>
      </c>
      <c r="G540" s="578">
        <f t="shared" si="75"/>
        <v>2252453.3800000004</v>
      </c>
      <c r="H540" s="41"/>
      <c r="I540" s="41"/>
      <c r="J540" s="41"/>
      <c r="K540" s="41">
        <f t="shared" si="77"/>
        <v>21799.83</v>
      </c>
      <c r="L540" s="41">
        <f t="shared" si="78"/>
        <v>63721.560000000005</v>
      </c>
      <c r="M540" s="41">
        <f t="shared" si="79"/>
        <v>2166931.9900000002</v>
      </c>
      <c r="N540" s="363">
        <f t="shared" si="76"/>
        <v>0</v>
      </c>
      <c r="O540" s="43" t="s">
        <v>3309</v>
      </c>
      <c r="P540" s="43"/>
      <c r="R540" s="41">
        <f t="shared" si="72"/>
        <v>0</v>
      </c>
      <c r="S540" s="41">
        <f t="shared" si="73"/>
        <v>0</v>
      </c>
      <c r="T540" s="41">
        <f t="shared" si="74"/>
        <v>0</v>
      </c>
      <c r="U540" s="41"/>
      <c r="V540" s="44" t="str">
        <f>IF($P540="High",$S540,IF($P540="Mix",SUMIF('High_Low Voltage Mix Summary'!$B$10:$B$17,$B389,'High_Low Voltage Mix Summary'!$D$10:$D$17),""))</f>
        <v/>
      </c>
      <c r="W540" s="44" t="str">
        <f>IF($P540="Low",$S540,IF($P540="Mix",SUMIF('High_Low Voltage Mix Summary'!$B$10:$B$17,$B389,'High_Low Voltage Mix Summary'!$E$10:$E$17),""))</f>
        <v/>
      </c>
      <c r="X540" s="44" t="str">
        <f>IF($P540="High",$T540,IF($P540="Mix",SUMIF('High_Low Voltage Mix Summary'!$B$10:$B$17,$B389,'High_Low Voltage Mix Summary'!$F$10:$F$17),""))</f>
        <v/>
      </c>
      <c r="Y540" s="44" t="str">
        <f>IF($P540="Low",$T540,IF($P540="Mix",SUMIF('High_Low Voltage Mix Summary'!$B$10:$B$17,$B389,'High_Low Voltage Mix Summary'!$G$10:$G$17),""))</f>
        <v/>
      </c>
      <c r="Z540" s="44" t="str">
        <f>IF(OR($P540="High",$P540="Low"),"",IF($P540="Mix",SUMIF('High_Low Voltage Mix Summary'!$B$10:$B$17,$B389,'High_Low Voltage Mix Summary'!$H$10:$H$17),""))</f>
        <v/>
      </c>
      <c r="AB540" s="49">
        <f>SUMIF('Antelope Bailey Split BA'!$B$7:$B$29,B540,'Antelope Bailey Split BA'!$C$7:$C$29)</f>
        <v>0</v>
      </c>
      <c r="AC540" s="49" t="str">
        <f>IF(AND(AB540=1,'Plant Total by Account'!$H$1=2),"EKWRA","")</f>
        <v/>
      </c>
    </row>
    <row r="541" spans="1:29" x14ac:dyDescent="0.2">
      <c r="A541" s="39" t="s">
        <v>3052</v>
      </c>
      <c r="B541" s="45" t="s">
        <v>662</v>
      </c>
      <c r="C541" s="40" t="s">
        <v>3334</v>
      </c>
      <c r="D541" s="53">
        <v>109960.48000000001</v>
      </c>
      <c r="E541" s="53">
        <v>77220.990000000005</v>
      </c>
      <c r="F541" s="53">
        <v>837109.8400000002</v>
      </c>
      <c r="G541" s="578">
        <f t="shared" si="75"/>
        <v>1024291.3100000003</v>
      </c>
      <c r="H541" s="41"/>
      <c r="I541" s="41"/>
      <c r="J541" s="41"/>
      <c r="K541" s="41">
        <f t="shared" si="77"/>
        <v>109960.48000000001</v>
      </c>
      <c r="L541" s="41">
        <f t="shared" si="78"/>
        <v>77220.990000000005</v>
      </c>
      <c r="M541" s="41">
        <f t="shared" si="79"/>
        <v>837109.8400000002</v>
      </c>
      <c r="N541" s="363">
        <f t="shared" si="76"/>
        <v>0</v>
      </c>
      <c r="O541" s="43" t="s">
        <v>3309</v>
      </c>
      <c r="P541" s="43"/>
      <c r="R541" s="41">
        <f t="shared" si="72"/>
        <v>0</v>
      </c>
      <c r="S541" s="41">
        <f t="shared" si="73"/>
        <v>0</v>
      </c>
      <c r="T541" s="41">
        <f t="shared" si="74"/>
        <v>0</v>
      </c>
      <c r="U541" s="41"/>
      <c r="V541" s="44" t="str">
        <f>IF($P541="High",$S541,IF($P541="Mix",SUMIF('High_Low Voltage Mix Summary'!$B$10:$B$17,$B390,'High_Low Voltage Mix Summary'!$D$10:$D$17),""))</f>
        <v/>
      </c>
      <c r="W541" s="44" t="str">
        <f>IF($P541="Low",$S541,IF($P541="Mix",SUMIF('High_Low Voltage Mix Summary'!$B$10:$B$17,$B390,'High_Low Voltage Mix Summary'!$E$10:$E$17),""))</f>
        <v/>
      </c>
      <c r="X541" s="44" t="str">
        <f>IF($P541="High",$T541,IF($P541="Mix",SUMIF('High_Low Voltage Mix Summary'!$B$10:$B$17,$B390,'High_Low Voltage Mix Summary'!$F$10:$F$17),""))</f>
        <v/>
      </c>
      <c r="Y541" s="44" t="str">
        <f>IF($P541="Low",$T541,IF($P541="Mix",SUMIF('High_Low Voltage Mix Summary'!$B$10:$B$17,$B390,'High_Low Voltage Mix Summary'!$G$10:$G$17),""))</f>
        <v/>
      </c>
      <c r="Z541" s="44" t="str">
        <f>IF(OR($P541="High",$P541="Low"),"",IF($P541="Mix",SUMIF('High_Low Voltage Mix Summary'!$B$10:$B$17,$B390,'High_Low Voltage Mix Summary'!$H$10:$H$17),""))</f>
        <v/>
      </c>
      <c r="AB541" s="49">
        <f>SUMIF('Antelope Bailey Split BA'!$B$7:$B$29,B541,'Antelope Bailey Split BA'!$C$7:$C$29)</f>
        <v>0</v>
      </c>
      <c r="AC541" s="49" t="str">
        <f>IF(AND(AB541=1,'Plant Total by Account'!$H$1=2),"EKWRA","")</f>
        <v/>
      </c>
    </row>
    <row r="542" spans="1:29" x14ac:dyDescent="0.2">
      <c r="A542" s="39" t="s">
        <v>3053</v>
      </c>
      <c r="B542" s="45" t="s">
        <v>663</v>
      </c>
      <c r="C542" s="40" t="s">
        <v>3334</v>
      </c>
      <c r="D542" s="53">
        <v>149060.76999999999</v>
      </c>
      <c r="E542" s="53">
        <v>592659.87000000011</v>
      </c>
      <c r="F542" s="53">
        <v>2536691.2900000028</v>
      </c>
      <c r="G542" s="578">
        <f t="shared" si="75"/>
        <v>3278411.930000003</v>
      </c>
      <c r="H542" s="41"/>
      <c r="I542" s="41"/>
      <c r="J542" s="41"/>
      <c r="K542" s="41">
        <f t="shared" si="77"/>
        <v>149060.76999999999</v>
      </c>
      <c r="L542" s="41">
        <f t="shared" si="78"/>
        <v>592659.87000000011</v>
      </c>
      <c r="M542" s="41">
        <f t="shared" si="79"/>
        <v>2536691.2900000028</v>
      </c>
      <c r="N542" s="363">
        <f t="shared" si="76"/>
        <v>0</v>
      </c>
      <c r="O542" s="43" t="s">
        <v>3309</v>
      </c>
      <c r="P542" s="43"/>
      <c r="R542" s="41">
        <f t="shared" si="72"/>
        <v>0</v>
      </c>
      <c r="S542" s="41">
        <f t="shared" si="73"/>
        <v>0</v>
      </c>
      <c r="T542" s="41">
        <f t="shared" si="74"/>
        <v>0</v>
      </c>
      <c r="U542" s="41"/>
      <c r="V542" s="44" t="str">
        <f>IF($P542="High",$S542,IF($P542="Mix",SUMIF('High_Low Voltage Mix Summary'!$B$10:$B$17,$B391,'High_Low Voltage Mix Summary'!$D$10:$D$17),""))</f>
        <v/>
      </c>
      <c r="W542" s="44" t="str">
        <f>IF($P542="Low",$S542,IF($P542="Mix",SUMIF('High_Low Voltage Mix Summary'!$B$10:$B$17,$B391,'High_Low Voltage Mix Summary'!$E$10:$E$17),""))</f>
        <v/>
      </c>
      <c r="X542" s="44" t="str">
        <f>IF($P542="High",$T542,IF($P542="Mix",SUMIF('High_Low Voltage Mix Summary'!$B$10:$B$17,$B391,'High_Low Voltage Mix Summary'!$F$10:$F$17),""))</f>
        <v/>
      </c>
      <c r="Y542" s="44" t="str">
        <f>IF($P542="Low",$T542,IF($P542="Mix",SUMIF('High_Low Voltage Mix Summary'!$B$10:$B$17,$B391,'High_Low Voltage Mix Summary'!$G$10:$G$17),""))</f>
        <v/>
      </c>
      <c r="Z542" s="44" t="str">
        <f>IF(OR($P542="High",$P542="Low"),"",IF($P542="Mix",SUMIF('High_Low Voltage Mix Summary'!$B$10:$B$17,$B391,'High_Low Voltage Mix Summary'!$H$10:$H$17),""))</f>
        <v/>
      </c>
      <c r="AB542" s="49">
        <f>SUMIF('Antelope Bailey Split BA'!$B$7:$B$29,B542,'Antelope Bailey Split BA'!$C$7:$C$29)</f>
        <v>0</v>
      </c>
      <c r="AC542" s="49" t="str">
        <f>IF(AND(AB542=1,'Plant Total by Account'!$H$1=2),"EKWRA","")</f>
        <v/>
      </c>
    </row>
    <row r="543" spans="1:29" x14ac:dyDescent="0.2">
      <c r="A543" s="39" t="s">
        <v>3054</v>
      </c>
      <c r="B543" s="45" t="s">
        <v>664</v>
      </c>
      <c r="C543" s="40" t="s">
        <v>3334</v>
      </c>
      <c r="D543" s="53">
        <v>23308.28</v>
      </c>
      <c r="E543" s="53">
        <v>193032.71000000002</v>
      </c>
      <c r="F543" s="53">
        <v>2396375.0200000009</v>
      </c>
      <c r="G543" s="578">
        <f t="shared" si="75"/>
        <v>2612716.0100000012</v>
      </c>
      <c r="H543" s="41"/>
      <c r="I543" s="41"/>
      <c r="J543" s="41"/>
      <c r="K543" s="41">
        <f t="shared" si="77"/>
        <v>23308.28</v>
      </c>
      <c r="L543" s="41">
        <f t="shared" si="78"/>
        <v>193032.71000000002</v>
      </c>
      <c r="M543" s="41">
        <f t="shared" si="79"/>
        <v>2396375.0200000009</v>
      </c>
      <c r="N543" s="363">
        <f t="shared" si="76"/>
        <v>0</v>
      </c>
      <c r="O543" s="43" t="s">
        <v>3309</v>
      </c>
      <c r="P543" s="43"/>
      <c r="R543" s="41">
        <f t="shared" si="72"/>
        <v>0</v>
      </c>
      <c r="S543" s="41">
        <f t="shared" si="73"/>
        <v>0</v>
      </c>
      <c r="T543" s="41">
        <f t="shared" si="74"/>
        <v>0</v>
      </c>
      <c r="U543" s="41"/>
      <c r="V543" s="44" t="str">
        <f>IF($P543="High",$S543,IF($P543="Mix",SUMIF('High_Low Voltage Mix Summary'!$B$10:$B$17,$B392,'High_Low Voltage Mix Summary'!$D$10:$D$17),""))</f>
        <v/>
      </c>
      <c r="W543" s="44" t="str">
        <f>IF($P543="Low",$S543,IF($P543="Mix",SUMIF('High_Low Voltage Mix Summary'!$B$10:$B$17,$B392,'High_Low Voltage Mix Summary'!$E$10:$E$17),""))</f>
        <v/>
      </c>
      <c r="X543" s="44" t="str">
        <f>IF($P543="High",$T543,IF($P543="Mix",SUMIF('High_Low Voltage Mix Summary'!$B$10:$B$17,$B392,'High_Low Voltage Mix Summary'!$F$10:$F$17),""))</f>
        <v/>
      </c>
      <c r="Y543" s="44" t="str">
        <f>IF($P543="Low",$T543,IF($P543="Mix",SUMIF('High_Low Voltage Mix Summary'!$B$10:$B$17,$B392,'High_Low Voltage Mix Summary'!$G$10:$G$17),""))</f>
        <v/>
      </c>
      <c r="Z543" s="44" t="str">
        <f>IF(OR($P543="High",$P543="Low"),"",IF($P543="Mix",SUMIF('High_Low Voltage Mix Summary'!$B$10:$B$17,$B392,'High_Low Voltage Mix Summary'!$H$10:$H$17),""))</f>
        <v/>
      </c>
      <c r="AB543" s="49">
        <f>SUMIF('Antelope Bailey Split BA'!$B$7:$B$29,B543,'Antelope Bailey Split BA'!$C$7:$C$29)</f>
        <v>0</v>
      </c>
      <c r="AC543" s="49" t="str">
        <f>IF(AND(AB543=1,'Plant Total by Account'!$H$1=2),"EKWRA","")</f>
        <v/>
      </c>
    </row>
    <row r="544" spans="1:29" x14ac:dyDescent="0.2">
      <c r="A544" s="39" t="s">
        <v>3055</v>
      </c>
      <c r="B544" s="45" t="s">
        <v>665</v>
      </c>
      <c r="C544" s="40" t="s">
        <v>3334</v>
      </c>
      <c r="D544" s="53">
        <v>5781.35</v>
      </c>
      <c r="E544" s="53">
        <v>127400.5</v>
      </c>
      <c r="F544" s="53">
        <v>2962481.0100000012</v>
      </c>
      <c r="G544" s="578">
        <f t="shared" si="75"/>
        <v>3095662.8600000013</v>
      </c>
      <c r="H544" s="41"/>
      <c r="I544" s="41"/>
      <c r="J544" s="41"/>
      <c r="K544" s="41">
        <f t="shared" si="77"/>
        <v>5781.35</v>
      </c>
      <c r="L544" s="41">
        <f t="shared" si="78"/>
        <v>127400.5</v>
      </c>
      <c r="M544" s="41">
        <f t="shared" si="79"/>
        <v>2962481.0100000012</v>
      </c>
      <c r="N544" s="363">
        <f t="shared" si="76"/>
        <v>0</v>
      </c>
      <c r="O544" s="43" t="s">
        <v>3309</v>
      </c>
      <c r="P544" s="43"/>
      <c r="R544" s="41">
        <f t="shared" si="72"/>
        <v>0</v>
      </c>
      <c r="S544" s="41">
        <f t="shared" si="73"/>
        <v>0</v>
      </c>
      <c r="T544" s="41">
        <f t="shared" si="74"/>
        <v>0</v>
      </c>
      <c r="U544" s="41"/>
      <c r="V544" s="44" t="str">
        <f>IF($P544="High",$S544,IF($P544="Mix",SUMIF('High_Low Voltage Mix Summary'!$B$10:$B$17,$B393,'High_Low Voltage Mix Summary'!$D$10:$D$17),""))</f>
        <v/>
      </c>
      <c r="W544" s="44" t="str">
        <f>IF($P544="Low",$S544,IF($P544="Mix",SUMIF('High_Low Voltage Mix Summary'!$B$10:$B$17,$B393,'High_Low Voltage Mix Summary'!$E$10:$E$17),""))</f>
        <v/>
      </c>
      <c r="X544" s="44" t="str">
        <f>IF($P544="High",$T544,IF($P544="Mix",SUMIF('High_Low Voltage Mix Summary'!$B$10:$B$17,$B393,'High_Low Voltage Mix Summary'!$F$10:$F$17),""))</f>
        <v/>
      </c>
      <c r="Y544" s="44" t="str">
        <f>IF($P544="Low",$T544,IF($P544="Mix",SUMIF('High_Low Voltage Mix Summary'!$B$10:$B$17,$B393,'High_Low Voltage Mix Summary'!$G$10:$G$17),""))</f>
        <v/>
      </c>
      <c r="Z544" s="44" t="str">
        <f>IF(OR($P544="High",$P544="Low"),"",IF($P544="Mix",SUMIF('High_Low Voltage Mix Summary'!$B$10:$B$17,$B393,'High_Low Voltage Mix Summary'!$H$10:$H$17),""))</f>
        <v/>
      </c>
      <c r="AB544" s="49">
        <f>SUMIF('Antelope Bailey Split BA'!$B$7:$B$29,B544,'Antelope Bailey Split BA'!$C$7:$C$29)</f>
        <v>0</v>
      </c>
      <c r="AC544" s="49" t="str">
        <f>IF(AND(AB544=1,'Plant Total by Account'!$H$1=2),"EKWRA","")</f>
        <v/>
      </c>
    </row>
    <row r="545" spans="1:29" x14ac:dyDescent="0.2">
      <c r="A545" s="39" t="s">
        <v>3056</v>
      </c>
      <c r="B545" s="45" t="s">
        <v>666</v>
      </c>
      <c r="C545" s="40" t="s">
        <v>3334</v>
      </c>
      <c r="D545" s="53">
        <v>36338.390000000007</v>
      </c>
      <c r="E545" s="53">
        <v>230383.47</v>
      </c>
      <c r="F545" s="53">
        <v>3686901.79</v>
      </c>
      <c r="G545" s="578">
        <f t="shared" si="75"/>
        <v>3953623.65</v>
      </c>
      <c r="H545" s="41"/>
      <c r="I545" s="41"/>
      <c r="J545" s="41"/>
      <c r="K545" s="41">
        <f t="shared" si="77"/>
        <v>36338.390000000007</v>
      </c>
      <c r="L545" s="41">
        <f t="shared" si="78"/>
        <v>230383.47</v>
      </c>
      <c r="M545" s="41">
        <f t="shared" si="79"/>
        <v>3686901.79</v>
      </c>
      <c r="N545" s="363">
        <f t="shared" si="76"/>
        <v>0</v>
      </c>
      <c r="O545" s="43" t="s">
        <v>3309</v>
      </c>
      <c r="P545" s="43"/>
      <c r="R545" s="41">
        <f t="shared" si="72"/>
        <v>0</v>
      </c>
      <c r="S545" s="41">
        <f t="shared" si="73"/>
        <v>0</v>
      </c>
      <c r="T545" s="41">
        <f t="shared" si="74"/>
        <v>0</v>
      </c>
      <c r="U545" s="41"/>
      <c r="V545" s="44" t="str">
        <f>IF($P545="High",$S545,IF($P545="Mix",SUMIF('High_Low Voltage Mix Summary'!$B$10:$B$17,$B394,'High_Low Voltage Mix Summary'!$D$10:$D$17),""))</f>
        <v/>
      </c>
      <c r="W545" s="44" t="str">
        <f>IF($P545="Low",$S545,IF($P545="Mix",SUMIF('High_Low Voltage Mix Summary'!$B$10:$B$17,$B394,'High_Low Voltage Mix Summary'!$E$10:$E$17),""))</f>
        <v/>
      </c>
      <c r="X545" s="44" t="str">
        <f>IF($P545="High",$T545,IF($P545="Mix",SUMIF('High_Low Voltage Mix Summary'!$B$10:$B$17,$B394,'High_Low Voltage Mix Summary'!$F$10:$F$17),""))</f>
        <v/>
      </c>
      <c r="Y545" s="44" t="str">
        <f>IF($P545="Low",$T545,IF($P545="Mix",SUMIF('High_Low Voltage Mix Summary'!$B$10:$B$17,$B394,'High_Low Voltage Mix Summary'!$G$10:$G$17),""))</f>
        <v/>
      </c>
      <c r="Z545" s="44" t="str">
        <f>IF(OR($P545="High",$P545="Low"),"",IF($P545="Mix",SUMIF('High_Low Voltage Mix Summary'!$B$10:$B$17,$B394,'High_Low Voltage Mix Summary'!$H$10:$H$17),""))</f>
        <v/>
      </c>
      <c r="AB545" s="49">
        <f>SUMIF('Antelope Bailey Split BA'!$B$7:$B$29,B545,'Antelope Bailey Split BA'!$C$7:$C$29)</f>
        <v>0</v>
      </c>
      <c r="AC545" s="49" t="str">
        <f>IF(AND(AB545=1,'Plant Total by Account'!$H$1=2),"EKWRA","")</f>
        <v/>
      </c>
    </row>
    <row r="546" spans="1:29" x14ac:dyDescent="0.2">
      <c r="A546" s="39" t="s">
        <v>3057</v>
      </c>
      <c r="B546" s="45" t="s">
        <v>667</v>
      </c>
      <c r="C546" s="40" t="s">
        <v>3334</v>
      </c>
      <c r="D546" s="53">
        <v>7071.6399999999994</v>
      </c>
      <c r="E546" s="53">
        <v>234428.72</v>
      </c>
      <c r="F546" s="53">
        <v>2580155.7199999988</v>
      </c>
      <c r="G546" s="578">
        <f t="shared" si="75"/>
        <v>2821656.0799999987</v>
      </c>
      <c r="H546" s="41"/>
      <c r="I546" s="41"/>
      <c r="J546" s="41"/>
      <c r="K546" s="41">
        <f t="shared" si="77"/>
        <v>7071.6399999999994</v>
      </c>
      <c r="L546" s="41">
        <f t="shared" si="78"/>
        <v>234428.72</v>
      </c>
      <c r="M546" s="41">
        <f t="shared" si="79"/>
        <v>2580155.7199999988</v>
      </c>
      <c r="N546" s="363">
        <f t="shared" si="76"/>
        <v>0</v>
      </c>
      <c r="O546" s="43" t="s">
        <v>3309</v>
      </c>
      <c r="P546" s="43"/>
      <c r="R546" s="41">
        <f t="shared" si="72"/>
        <v>0</v>
      </c>
      <c r="S546" s="41">
        <f t="shared" si="73"/>
        <v>0</v>
      </c>
      <c r="T546" s="41">
        <f t="shared" si="74"/>
        <v>0</v>
      </c>
      <c r="U546" s="41"/>
      <c r="V546" s="44" t="str">
        <f>IF($P546="High",$S546,IF($P546="Mix",SUMIF('High_Low Voltage Mix Summary'!$B$10:$B$17,$B395,'High_Low Voltage Mix Summary'!$D$10:$D$17),""))</f>
        <v/>
      </c>
      <c r="W546" s="44" t="str">
        <f>IF($P546="Low",$S546,IF($P546="Mix",SUMIF('High_Low Voltage Mix Summary'!$B$10:$B$17,$B395,'High_Low Voltage Mix Summary'!$E$10:$E$17),""))</f>
        <v/>
      </c>
      <c r="X546" s="44" t="str">
        <f>IF($P546="High",$T546,IF($P546="Mix",SUMIF('High_Low Voltage Mix Summary'!$B$10:$B$17,$B395,'High_Low Voltage Mix Summary'!$F$10:$F$17),""))</f>
        <v/>
      </c>
      <c r="Y546" s="44" t="str">
        <f>IF($P546="Low",$T546,IF($P546="Mix",SUMIF('High_Low Voltage Mix Summary'!$B$10:$B$17,$B395,'High_Low Voltage Mix Summary'!$G$10:$G$17),""))</f>
        <v/>
      </c>
      <c r="Z546" s="44" t="str">
        <f>IF(OR($P546="High",$P546="Low"),"",IF($P546="Mix",SUMIF('High_Low Voltage Mix Summary'!$B$10:$B$17,$B395,'High_Low Voltage Mix Summary'!$H$10:$H$17),""))</f>
        <v/>
      </c>
      <c r="AB546" s="49">
        <f>SUMIF('Antelope Bailey Split BA'!$B$7:$B$29,B546,'Antelope Bailey Split BA'!$C$7:$C$29)</f>
        <v>0</v>
      </c>
      <c r="AC546" s="49" t="str">
        <f>IF(AND(AB546=1,'Plant Total by Account'!$H$1=2),"EKWRA","")</f>
        <v/>
      </c>
    </row>
    <row r="547" spans="1:29" x14ac:dyDescent="0.2">
      <c r="A547" s="39" t="s">
        <v>3058</v>
      </c>
      <c r="B547" s="45" t="s">
        <v>668</v>
      </c>
      <c r="C547" s="40" t="s">
        <v>3334</v>
      </c>
      <c r="D547" s="53">
        <v>0</v>
      </c>
      <c r="E547" s="53">
        <v>6726.9800000000005</v>
      </c>
      <c r="F547" s="53">
        <v>222111.18999999997</v>
      </c>
      <c r="G547" s="578">
        <f t="shared" si="75"/>
        <v>228838.16999999998</v>
      </c>
      <c r="H547" s="41"/>
      <c r="I547" s="41"/>
      <c r="J547" s="41"/>
      <c r="K547" s="41">
        <f t="shared" si="77"/>
        <v>0</v>
      </c>
      <c r="L547" s="41">
        <f t="shared" si="78"/>
        <v>6726.9800000000005</v>
      </c>
      <c r="M547" s="41">
        <f t="shared" si="79"/>
        <v>222111.18999999997</v>
      </c>
      <c r="N547" s="363">
        <f t="shared" si="76"/>
        <v>0</v>
      </c>
      <c r="O547" s="43" t="s">
        <v>3309</v>
      </c>
      <c r="P547" s="43"/>
      <c r="R547" s="41">
        <f t="shared" si="72"/>
        <v>0</v>
      </c>
      <c r="S547" s="41">
        <f t="shared" si="73"/>
        <v>0</v>
      </c>
      <c r="T547" s="41">
        <f t="shared" si="74"/>
        <v>0</v>
      </c>
      <c r="U547" s="41"/>
      <c r="V547" s="44" t="str">
        <f>IF($P547="High",$S547,IF($P547="Mix",SUMIF('High_Low Voltage Mix Summary'!$B$10:$B$17,$B396,'High_Low Voltage Mix Summary'!$D$10:$D$17),""))</f>
        <v/>
      </c>
      <c r="W547" s="44" t="str">
        <f>IF($P547="Low",$S547,IF($P547="Mix",SUMIF('High_Low Voltage Mix Summary'!$B$10:$B$17,$B396,'High_Low Voltage Mix Summary'!$E$10:$E$17),""))</f>
        <v/>
      </c>
      <c r="X547" s="44" t="str">
        <f>IF($P547="High",$T547,IF($P547="Mix",SUMIF('High_Low Voltage Mix Summary'!$B$10:$B$17,$B396,'High_Low Voltage Mix Summary'!$F$10:$F$17),""))</f>
        <v/>
      </c>
      <c r="Y547" s="44" t="str">
        <f>IF($P547="Low",$T547,IF($P547="Mix",SUMIF('High_Low Voltage Mix Summary'!$B$10:$B$17,$B396,'High_Low Voltage Mix Summary'!$G$10:$G$17),""))</f>
        <v/>
      </c>
      <c r="Z547" s="44" t="str">
        <f>IF(OR($P547="High",$P547="Low"),"",IF($P547="Mix",SUMIF('High_Low Voltage Mix Summary'!$B$10:$B$17,$B396,'High_Low Voltage Mix Summary'!$H$10:$H$17),""))</f>
        <v/>
      </c>
      <c r="AB547" s="49">
        <f>SUMIF('Antelope Bailey Split BA'!$B$7:$B$29,B547,'Antelope Bailey Split BA'!$C$7:$C$29)</f>
        <v>0</v>
      </c>
      <c r="AC547" s="49" t="str">
        <f>IF(AND(AB547=1,'Plant Total by Account'!$H$1=2),"EKWRA","")</f>
        <v/>
      </c>
    </row>
    <row r="548" spans="1:29" x14ac:dyDescent="0.2">
      <c r="A548" s="39" t="s">
        <v>2455</v>
      </c>
      <c r="B548" s="45" t="s">
        <v>669</v>
      </c>
      <c r="C548" s="40" t="s">
        <v>3334</v>
      </c>
      <c r="D548" s="53">
        <v>65254.97</v>
      </c>
      <c r="E548" s="53">
        <v>87991.32</v>
      </c>
      <c r="F548" s="53">
        <v>1927694.0599999998</v>
      </c>
      <c r="G548" s="578">
        <f t="shared" si="75"/>
        <v>2080940.3499999999</v>
      </c>
      <c r="H548" s="41"/>
      <c r="I548" s="41"/>
      <c r="J548" s="41"/>
      <c r="K548" s="41">
        <f t="shared" si="77"/>
        <v>65254.97</v>
      </c>
      <c r="L548" s="41">
        <f t="shared" si="78"/>
        <v>87991.32</v>
      </c>
      <c r="M548" s="41">
        <f t="shared" si="79"/>
        <v>1927694.0599999998</v>
      </c>
      <c r="N548" s="363">
        <f t="shared" si="76"/>
        <v>0</v>
      </c>
      <c r="O548" s="43" t="s">
        <v>3309</v>
      </c>
      <c r="P548" s="43"/>
      <c r="R548" s="41">
        <f t="shared" si="72"/>
        <v>0</v>
      </c>
      <c r="S548" s="41">
        <f t="shared" si="73"/>
        <v>0</v>
      </c>
      <c r="T548" s="41">
        <f t="shared" si="74"/>
        <v>0</v>
      </c>
      <c r="U548" s="41"/>
      <c r="V548" s="44" t="str">
        <f>IF($P548="High",$S548,IF($P548="Mix",SUMIF('High_Low Voltage Mix Summary'!$B$10:$B$17,$B888,'High_Low Voltage Mix Summary'!$D$10:$D$17),""))</f>
        <v/>
      </c>
      <c r="W548" s="44" t="str">
        <f>IF($P548="Low",$S548,IF($P548="Mix",SUMIF('High_Low Voltage Mix Summary'!$B$10:$B$17,$B888,'High_Low Voltage Mix Summary'!$E$10:$E$17),""))</f>
        <v/>
      </c>
      <c r="X548" s="44" t="str">
        <f>IF($P548="High",$T548,IF($P548="Mix",SUMIF('High_Low Voltage Mix Summary'!$B$10:$B$17,$B888,'High_Low Voltage Mix Summary'!$F$10:$F$17),""))</f>
        <v/>
      </c>
      <c r="Y548" s="44" t="str">
        <f>IF($P548="Low",$T548,IF($P548="Mix",SUMIF('High_Low Voltage Mix Summary'!$B$10:$B$17,$B888,'High_Low Voltage Mix Summary'!$G$10:$G$17),""))</f>
        <v/>
      </c>
      <c r="Z548" s="44" t="str">
        <f>IF(OR($P548="High",$P548="Low"),"",IF($P548="Mix",SUMIF('High_Low Voltage Mix Summary'!$B$10:$B$17,$B888,'High_Low Voltage Mix Summary'!$H$10:$H$17),""))</f>
        <v/>
      </c>
      <c r="AB548" s="49">
        <f>SUMIF('Antelope Bailey Split BA'!$B$7:$B$29,B548,'Antelope Bailey Split BA'!$C$7:$C$29)</f>
        <v>0</v>
      </c>
      <c r="AC548" s="49" t="str">
        <f>IF(AND(AB548=1,'Plant Total by Account'!$H$1=2),"EKWRA","")</f>
        <v/>
      </c>
    </row>
    <row r="549" spans="1:29" x14ac:dyDescent="0.2">
      <c r="A549" s="39" t="s">
        <v>3059</v>
      </c>
      <c r="B549" s="45" t="s">
        <v>670</v>
      </c>
      <c r="C549" s="40" t="s">
        <v>3334</v>
      </c>
      <c r="D549" s="53">
        <v>0</v>
      </c>
      <c r="E549" s="53">
        <v>1520.59</v>
      </c>
      <c r="F549" s="53">
        <v>171607.43</v>
      </c>
      <c r="G549" s="578">
        <f t="shared" si="75"/>
        <v>173128.02</v>
      </c>
      <c r="H549" s="41"/>
      <c r="I549" s="41"/>
      <c r="J549" s="41"/>
      <c r="K549" s="41">
        <f t="shared" si="77"/>
        <v>0</v>
      </c>
      <c r="L549" s="41">
        <f t="shared" si="78"/>
        <v>1520.59</v>
      </c>
      <c r="M549" s="41">
        <f t="shared" si="79"/>
        <v>171607.43</v>
      </c>
      <c r="N549" s="363">
        <f t="shared" si="76"/>
        <v>0</v>
      </c>
      <c r="O549" s="43" t="s">
        <v>3309</v>
      </c>
      <c r="P549" s="43"/>
      <c r="R549" s="41">
        <f t="shared" si="72"/>
        <v>0</v>
      </c>
      <c r="S549" s="41">
        <f t="shared" si="73"/>
        <v>0</v>
      </c>
      <c r="T549" s="41">
        <f t="shared" si="74"/>
        <v>0</v>
      </c>
      <c r="U549" s="41"/>
      <c r="V549" s="44" t="str">
        <f>IF($P549="High",$S549,IF($P549="Mix",SUMIF('High_Low Voltage Mix Summary'!$B$10:$B$17,$B397,'High_Low Voltage Mix Summary'!$D$10:$D$17),""))</f>
        <v/>
      </c>
      <c r="W549" s="44" t="str">
        <f>IF($P549="Low",$S549,IF($P549="Mix",SUMIF('High_Low Voltage Mix Summary'!$B$10:$B$17,$B397,'High_Low Voltage Mix Summary'!$E$10:$E$17),""))</f>
        <v/>
      </c>
      <c r="X549" s="44" t="str">
        <f>IF($P549="High",$T549,IF($P549="Mix",SUMIF('High_Low Voltage Mix Summary'!$B$10:$B$17,$B397,'High_Low Voltage Mix Summary'!$F$10:$F$17),""))</f>
        <v/>
      </c>
      <c r="Y549" s="44" t="str">
        <f>IF($P549="Low",$T549,IF($P549="Mix",SUMIF('High_Low Voltage Mix Summary'!$B$10:$B$17,$B397,'High_Low Voltage Mix Summary'!$G$10:$G$17),""))</f>
        <v/>
      </c>
      <c r="Z549" s="44" t="str">
        <f>IF(OR($P549="High",$P549="Low"),"",IF($P549="Mix",SUMIF('High_Low Voltage Mix Summary'!$B$10:$B$17,$B397,'High_Low Voltage Mix Summary'!$H$10:$H$17),""))</f>
        <v/>
      </c>
      <c r="AB549" s="49">
        <f>SUMIF('Antelope Bailey Split BA'!$B$7:$B$29,B549,'Antelope Bailey Split BA'!$C$7:$C$29)</f>
        <v>0</v>
      </c>
      <c r="AC549" s="49" t="str">
        <f>IF(AND(AB549=1,'Plant Total by Account'!$H$1=2),"EKWRA","")</f>
        <v/>
      </c>
    </row>
    <row r="550" spans="1:29" x14ac:dyDescent="0.2">
      <c r="A550" s="39" t="s">
        <v>3060</v>
      </c>
      <c r="B550" s="45" t="s">
        <v>671</v>
      </c>
      <c r="C550" s="40" t="s">
        <v>3334</v>
      </c>
      <c r="D550" s="53">
        <v>0</v>
      </c>
      <c r="E550" s="53">
        <v>1643.8700000000001</v>
      </c>
      <c r="F550" s="53">
        <v>130774.96</v>
      </c>
      <c r="G550" s="578">
        <f t="shared" si="75"/>
        <v>132418.83000000002</v>
      </c>
      <c r="H550" s="41"/>
      <c r="I550" s="41"/>
      <c r="J550" s="41"/>
      <c r="K550" s="41">
        <f t="shared" si="77"/>
        <v>0</v>
      </c>
      <c r="L550" s="41">
        <f t="shared" si="78"/>
        <v>1643.8700000000001</v>
      </c>
      <c r="M550" s="41">
        <f t="shared" si="79"/>
        <v>130774.96</v>
      </c>
      <c r="N550" s="363">
        <f t="shared" si="76"/>
        <v>0</v>
      </c>
      <c r="O550" s="43" t="s">
        <v>3309</v>
      </c>
      <c r="P550" s="43"/>
      <c r="R550" s="41">
        <f t="shared" si="72"/>
        <v>0</v>
      </c>
      <c r="S550" s="41">
        <f t="shared" si="73"/>
        <v>0</v>
      </c>
      <c r="T550" s="41">
        <f t="shared" si="74"/>
        <v>0</v>
      </c>
      <c r="U550" s="41"/>
      <c r="V550" s="44" t="str">
        <f>IF($P550="High",$S550,IF($P550="Mix",SUMIF('High_Low Voltage Mix Summary'!$B$10:$B$17,$B398,'High_Low Voltage Mix Summary'!$D$10:$D$17),""))</f>
        <v/>
      </c>
      <c r="W550" s="44" t="str">
        <f>IF($P550="Low",$S550,IF($P550="Mix",SUMIF('High_Low Voltage Mix Summary'!$B$10:$B$17,$B398,'High_Low Voltage Mix Summary'!$E$10:$E$17),""))</f>
        <v/>
      </c>
      <c r="X550" s="44" t="str">
        <f>IF($P550="High",$T550,IF($P550="Mix",SUMIF('High_Low Voltage Mix Summary'!$B$10:$B$17,$B398,'High_Low Voltage Mix Summary'!$F$10:$F$17),""))</f>
        <v/>
      </c>
      <c r="Y550" s="44" t="str">
        <f>IF($P550="Low",$T550,IF($P550="Mix",SUMIF('High_Low Voltage Mix Summary'!$B$10:$B$17,$B398,'High_Low Voltage Mix Summary'!$G$10:$G$17),""))</f>
        <v/>
      </c>
      <c r="Z550" s="44" t="str">
        <f>IF(OR($P550="High",$P550="Low"),"",IF($P550="Mix",SUMIF('High_Low Voltage Mix Summary'!$B$10:$B$17,$B398,'High_Low Voltage Mix Summary'!$H$10:$H$17),""))</f>
        <v/>
      </c>
      <c r="AB550" s="49">
        <f>SUMIF('Antelope Bailey Split BA'!$B$7:$B$29,B550,'Antelope Bailey Split BA'!$C$7:$C$29)</f>
        <v>0</v>
      </c>
      <c r="AC550" s="49" t="str">
        <f>IF(AND(AB550=1,'Plant Total by Account'!$H$1=2),"EKWRA","")</f>
        <v/>
      </c>
    </row>
    <row r="551" spans="1:29" x14ac:dyDescent="0.2">
      <c r="A551" s="39" t="s">
        <v>3061</v>
      </c>
      <c r="B551" s="45" t="s">
        <v>672</v>
      </c>
      <c r="C551" s="40" t="s">
        <v>3334</v>
      </c>
      <c r="D551" s="53">
        <v>0</v>
      </c>
      <c r="E551" s="53">
        <v>0</v>
      </c>
      <c r="F551" s="53">
        <v>340368.75999999995</v>
      </c>
      <c r="G551" s="578">
        <f t="shared" si="75"/>
        <v>340368.75999999995</v>
      </c>
      <c r="H551" s="41"/>
      <c r="I551" s="41"/>
      <c r="J551" s="41"/>
      <c r="K551" s="41">
        <f t="shared" si="77"/>
        <v>0</v>
      </c>
      <c r="L551" s="41">
        <f t="shared" si="78"/>
        <v>0</v>
      </c>
      <c r="M551" s="41">
        <f t="shared" si="79"/>
        <v>340368.75999999995</v>
      </c>
      <c r="N551" s="363">
        <f t="shared" si="76"/>
        <v>0</v>
      </c>
      <c r="O551" s="43" t="s">
        <v>3309</v>
      </c>
      <c r="P551" s="43"/>
      <c r="R551" s="41">
        <f t="shared" si="72"/>
        <v>0</v>
      </c>
      <c r="S551" s="41">
        <f t="shared" si="73"/>
        <v>0</v>
      </c>
      <c r="T551" s="41">
        <f t="shared" si="74"/>
        <v>0</v>
      </c>
      <c r="U551" s="41"/>
      <c r="V551" s="44" t="str">
        <f>IF($P551="High",$S551,IF($P551="Mix",SUMIF('High_Low Voltage Mix Summary'!$B$10:$B$17,$B399,'High_Low Voltage Mix Summary'!$D$10:$D$17),""))</f>
        <v/>
      </c>
      <c r="W551" s="44" t="str">
        <f>IF($P551="Low",$S551,IF($P551="Mix",SUMIF('High_Low Voltage Mix Summary'!$B$10:$B$17,$B399,'High_Low Voltage Mix Summary'!$E$10:$E$17),""))</f>
        <v/>
      </c>
      <c r="X551" s="44" t="str">
        <f>IF($P551="High",$T551,IF($P551="Mix",SUMIF('High_Low Voltage Mix Summary'!$B$10:$B$17,$B399,'High_Low Voltage Mix Summary'!$F$10:$F$17),""))</f>
        <v/>
      </c>
      <c r="Y551" s="44" t="str">
        <f>IF($P551="Low",$T551,IF($P551="Mix",SUMIF('High_Low Voltage Mix Summary'!$B$10:$B$17,$B399,'High_Low Voltage Mix Summary'!$G$10:$G$17),""))</f>
        <v/>
      </c>
      <c r="Z551" s="44" t="str">
        <f>IF(OR($P551="High",$P551="Low"),"",IF($P551="Mix",SUMIF('High_Low Voltage Mix Summary'!$B$10:$B$17,$B399,'High_Low Voltage Mix Summary'!$H$10:$H$17),""))</f>
        <v/>
      </c>
      <c r="AB551" s="49">
        <f>SUMIF('Antelope Bailey Split BA'!$B$7:$B$29,B551,'Antelope Bailey Split BA'!$C$7:$C$29)</f>
        <v>0</v>
      </c>
      <c r="AC551" s="49" t="str">
        <f>IF(AND(AB551=1,'Plant Total by Account'!$H$1=2),"EKWRA","")</f>
        <v/>
      </c>
    </row>
    <row r="552" spans="1:29" x14ac:dyDescent="0.2">
      <c r="A552" s="39" t="s">
        <v>3062</v>
      </c>
      <c r="B552" s="45" t="s">
        <v>673</v>
      </c>
      <c r="C552" s="40" t="s">
        <v>3334</v>
      </c>
      <c r="D552" s="53">
        <v>29526.28</v>
      </c>
      <c r="E552" s="53">
        <v>4031.68</v>
      </c>
      <c r="F552" s="53">
        <v>252724.1</v>
      </c>
      <c r="G552" s="578">
        <f t="shared" si="75"/>
        <v>286282.06</v>
      </c>
      <c r="H552" s="41"/>
      <c r="I552" s="41"/>
      <c r="J552" s="41"/>
      <c r="K552" s="41">
        <f t="shared" si="77"/>
        <v>29526.28</v>
      </c>
      <c r="L552" s="41">
        <f t="shared" si="78"/>
        <v>4031.68</v>
      </c>
      <c r="M552" s="41">
        <f t="shared" si="79"/>
        <v>252724.1</v>
      </c>
      <c r="N552" s="363">
        <f t="shared" si="76"/>
        <v>0</v>
      </c>
      <c r="O552" s="43" t="s">
        <v>3309</v>
      </c>
      <c r="P552" s="43"/>
      <c r="R552" s="41">
        <f t="shared" si="72"/>
        <v>0</v>
      </c>
      <c r="S552" s="41">
        <f t="shared" si="73"/>
        <v>0</v>
      </c>
      <c r="T552" s="41">
        <f t="shared" si="74"/>
        <v>0</v>
      </c>
      <c r="U552" s="41"/>
      <c r="V552" s="44" t="str">
        <f>IF($P552="High",$S552,IF($P552="Mix",SUMIF('High_Low Voltage Mix Summary'!$B$10:$B$17,$B400,'High_Low Voltage Mix Summary'!$D$10:$D$17),""))</f>
        <v/>
      </c>
      <c r="W552" s="44" t="str">
        <f>IF($P552="Low",$S552,IF($P552="Mix",SUMIF('High_Low Voltage Mix Summary'!$B$10:$B$17,$B400,'High_Low Voltage Mix Summary'!$E$10:$E$17),""))</f>
        <v/>
      </c>
      <c r="X552" s="44" t="str">
        <f>IF($P552="High",$T552,IF($P552="Mix",SUMIF('High_Low Voltage Mix Summary'!$B$10:$B$17,$B400,'High_Low Voltage Mix Summary'!$F$10:$F$17),""))</f>
        <v/>
      </c>
      <c r="Y552" s="44" t="str">
        <f>IF($P552="Low",$T552,IF($P552="Mix",SUMIF('High_Low Voltage Mix Summary'!$B$10:$B$17,$B400,'High_Low Voltage Mix Summary'!$G$10:$G$17),""))</f>
        <v/>
      </c>
      <c r="Z552" s="44" t="str">
        <f>IF(OR($P552="High",$P552="Low"),"",IF($P552="Mix",SUMIF('High_Low Voltage Mix Summary'!$B$10:$B$17,$B400,'High_Low Voltage Mix Summary'!$H$10:$H$17),""))</f>
        <v/>
      </c>
      <c r="AB552" s="49">
        <f>SUMIF('Antelope Bailey Split BA'!$B$7:$B$29,B552,'Antelope Bailey Split BA'!$C$7:$C$29)</f>
        <v>0</v>
      </c>
      <c r="AC552" s="49" t="str">
        <f>IF(AND(AB552=1,'Plant Total by Account'!$H$1=2),"EKWRA","")</f>
        <v/>
      </c>
    </row>
    <row r="553" spans="1:29" x14ac:dyDescent="0.2">
      <c r="A553" s="39" t="s">
        <v>3063</v>
      </c>
      <c r="B553" s="45" t="s">
        <v>674</v>
      </c>
      <c r="C553" s="40" t="s">
        <v>3333</v>
      </c>
      <c r="D553" s="53">
        <v>21724.79</v>
      </c>
      <c r="E553" s="53">
        <v>146530.18000000002</v>
      </c>
      <c r="F553" s="53">
        <v>733358.38000000012</v>
      </c>
      <c r="G553" s="578">
        <f t="shared" si="75"/>
        <v>901613.35000000009</v>
      </c>
      <c r="H553" s="41"/>
      <c r="I553" s="41"/>
      <c r="J553" s="41"/>
      <c r="K553" s="41">
        <f t="shared" si="77"/>
        <v>21724.79</v>
      </c>
      <c r="L553" s="41">
        <f t="shared" si="78"/>
        <v>146530.18000000002</v>
      </c>
      <c r="M553" s="41">
        <f t="shared" si="79"/>
        <v>733358.38000000012</v>
      </c>
      <c r="N553" s="363">
        <f t="shared" si="76"/>
        <v>0</v>
      </c>
      <c r="O553" s="43" t="s">
        <v>3309</v>
      </c>
      <c r="P553" s="43"/>
      <c r="R553" s="41">
        <f t="shared" si="72"/>
        <v>0</v>
      </c>
      <c r="S553" s="41">
        <f t="shared" si="73"/>
        <v>0</v>
      </c>
      <c r="T553" s="41">
        <f t="shared" si="74"/>
        <v>0</v>
      </c>
      <c r="U553" s="41"/>
      <c r="V553" s="44" t="str">
        <f>IF($P553="High",$S553,IF($P553="Mix",SUMIF('High_Low Voltage Mix Summary'!$B$10:$B$17,$B401,'High_Low Voltage Mix Summary'!$D$10:$D$17),""))</f>
        <v/>
      </c>
      <c r="W553" s="44" t="str">
        <f>IF($P553="Low",$S553,IF($P553="Mix",SUMIF('High_Low Voltage Mix Summary'!$B$10:$B$17,$B401,'High_Low Voltage Mix Summary'!$E$10:$E$17),""))</f>
        <v/>
      </c>
      <c r="X553" s="44" t="str">
        <f>IF($P553="High",$T553,IF($P553="Mix",SUMIF('High_Low Voltage Mix Summary'!$B$10:$B$17,$B401,'High_Low Voltage Mix Summary'!$F$10:$F$17),""))</f>
        <v/>
      </c>
      <c r="Y553" s="44" t="str">
        <f>IF($P553="Low",$T553,IF($P553="Mix",SUMIF('High_Low Voltage Mix Summary'!$B$10:$B$17,$B401,'High_Low Voltage Mix Summary'!$G$10:$G$17),""))</f>
        <v/>
      </c>
      <c r="Z553" s="44" t="str">
        <f>IF(OR($P553="High",$P553="Low"),"",IF($P553="Mix",SUMIF('High_Low Voltage Mix Summary'!$B$10:$B$17,$B401,'High_Low Voltage Mix Summary'!$H$10:$H$17),""))</f>
        <v/>
      </c>
      <c r="AB553" s="49">
        <f>SUMIF('Antelope Bailey Split BA'!$B$7:$B$29,B553,'Antelope Bailey Split BA'!$C$7:$C$29)</f>
        <v>0</v>
      </c>
      <c r="AC553" s="49" t="str">
        <f>IF(AND(AB553=1,'Plant Total by Account'!$H$1=2),"EKWRA","")</f>
        <v/>
      </c>
    </row>
    <row r="554" spans="1:29" x14ac:dyDescent="0.2">
      <c r="A554" s="39" t="s">
        <v>3064</v>
      </c>
      <c r="B554" s="45" t="s">
        <v>675</v>
      </c>
      <c r="C554" s="40" t="s">
        <v>3333</v>
      </c>
      <c r="D554" s="53">
        <v>1227.49</v>
      </c>
      <c r="E554" s="53">
        <v>58662.65</v>
      </c>
      <c r="F554" s="53">
        <v>465678.66000000015</v>
      </c>
      <c r="G554" s="578">
        <f t="shared" si="75"/>
        <v>525568.80000000016</v>
      </c>
      <c r="H554" s="41"/>
      <c r="I554" s="41"/>
      <c r="J554" s="41"/>
      <c r="K554" s="41">
        <f t="shared" si="77"/>
        <v>1227.49</v>
      </c>
      <c r="L554" s="41">
        <f t="shared" si="78"/>
        <v>58662.65</v>
      </c>
      <c r="M554" s="41">
        <f t="shared" si="79"/>
        <v>465678.66000000015</v>
      </c>
      <c r="N554" s="363">
        <f t="shared" si="76"/>
        <v>0</v>
      </c>
      <c r="O554" s="43" t="s">
        <v>3309</v>
      </c>
      <c r="P554" s="43"/>
      <c r="R554" s="41">
        <f t="shared" si="72"/>
        <v>0</v>
      </c>
      <c r="S554" s="41">
        <f t="shared" si="73"/>
        <v>0</v>
      </c>
      <c r="T554" s="41">
        <f t="shared" si="74"/>
        <v>0</v>
      </c>
      <c r="U554" s="41"/>
      <c r="V554" s="44" t="str">
        <f>IF($P554="High",$S554,IF($P554="Mix",SUMIF('High_Low Voltage Mix Summary'!$B$10:$B$17,#REF!,'High_Low Voltage Mix Summary'!$D$10:$D$17),""))</f>
        <v/>
      </c>
      <c r="W554" s="44" t="str">
        <f>IF($P554="Low",$S554,IF($P554="Mix",SUMIF('High_Low Voltage Mix Summary'!$B$10:$B$17,#REF!,'High_Low Voltage Mix Summary'!$E$10:$E$17),""))</f>
        <v/>
      </c>
      <c r="X554" s="44" t="str">
        <f>IF($P554="High",$T554,IF($P554="Mix",SUMIF('High_Low Voltage Mix Summary'!$B$10:$B$17,#REF!,'High_Low Voltage Mix Summary'!$F$10:$F$17),""))</f>
        <v/>
      </c>
      <c r="Y554" s="44" t="str">
        <f>IF($P554="Low",$T554,IF($P554="Mix",SUMIF('High_Low Voltage Mix Summary'!$B$10:$B$17,#REF!,'High_Low Voltage Mix Summary'!$G$10:$G$17),""))</f>
        <v/>
      </c>
      <c r="Z554" s="44" t="str">
        <f>IF(OR($P554="High",$P554="Low"),"",IF($P554="Mix",SUMIF('High_Low Voltage Mix Summary'!$B$10:$B$17,#REF!,'High_Low Voltage Mix Summary'!$H$10:$H$17),""))</f>
        <v/>
      </c>
      <c r="AB554" s="49">
        <f>SUMIF('Antelope Bailey Split BA'!$B$7:$B$29,B554,'Antelope Bailey Split BA'!$C$7:$C$29)</f>
        <v>0</v>
      </c>
      <c r="AC554" s="49" t="str">
        <f>IF(AND(AB554=1,'Plant Total by Account'!$H$1=2),"EKWRA","")</f>
        <v/>
      </c>
    </row>
    <row r="555" spans="1:29" x14ac:dyDescent="0.2">
      <c r="A555" s="39" t="s">
        <v>3065</v>
      </c>
      <c r="B555" s="45" t="s">
        <v>676</v>
      </c>
      <c r="C555" s="40" t="s">
        <v>3334</v>
      </c>
      <c r="D555" s="53">
        <v>96151.010000000009</v>
      </c>
      <c r="E555" s="53">
        <v>143634.74</v>
      </c>
      <c r="F555" s="53">
        <v>2163669.4099999992</v>
      </c>
      <c r="G555" s="578">
        <f t="shared" si="75"/>
        <v>2403455.1599999992</v>
      </c>
      <c r="H555" s="41"/>
      <c r="I555" s="41"/>
      <c r="J555" s="41"/>
      <c r="K555" s="41">
        <f t="shared" si="77"/>
        <v>96151.010000000009</v>
      </c>
      <c r="L555" s="41">
        <f t="shared" si="78"/>
        <v>143634.74</v>
      </c>
      <c r="M555" s="41">
        <f t="shared" si="79"/>
        <v>2163669.4099999992</v>
      </c>
      <c r="N555" s="363">
        <f t="shared" si="76"/>
        <v>0</v>
      </c>
      <c r="O555" s="43" t="s">
        <v>3309</v>
      </c>
      <c r="P555" s="43"/>
      <c r="R555" s="41">
        <f t="shared" si="72"/>
        <v>0</v>
      </c>
      <c r="S555" s="41">
        <f t="shared" si="73"/>
        <v>0</v>
      </c>
      <c r="T555" s="41">
        <f t="shared" si="74"/>
        <v>0</v>
      </c>
      <c r="U555" s="41"/>
      <c r="V555" s="44" t="str">
        <f>IF($P555="High",$S555,IF($P555="Mix",SUMIF('High_Low Voltage Mix Summary'!$B$10:$B$17,#REF!,'High_Low Voltage Mix Summary'!$D$10:$D$17),""))</f>
        <v/>
      </c>
      <c r="W555" s="44" t="str">
        <f>IF($P555="Low",$S555,IF($P555="Mix",SUMIF('High_Low Voltage Mix Summary'!$B$10:$B$17,#REF!,'High_Low Voltage Mix Summary'!$E$10:$E$17),""))</f>
        <v/>
      </c>
      <c r="X555" s="44" t="str">
        <f>IF($P555="High",$T555,IF($P555="Mix",SUMIF('High_Low Voltage Mix Summary'!$B$10:$B$17,#REF!,'High_Low Voltage Mix Summary'!$F$10:$F$17),""))</f>
        <v/>
      </c>
      <c r="Y555" s="44" t="str">
        <f>IF($P555="Low",$T555,IF($P555="Mix",SUMIF('High_Low Voltage Mix Summary'!$B$10:$B$17,#REF!,'High_Low Voltage Mix Summary'!$G$10:$G$17),""))</f>
        <v/>
      </c>
      <c r="Z555" s="44" t="str">
        <f>IF(OR($P555="High",$P555="Low"),"",IF($P555="Mix",SUMIF('High_Low Voltage Mix Summary'!$B$10:$B$17,#REF!,'High_Low Voltage Mix Summary'!$H$10:$H$17),""))</f>
        <v/>
      </c>
      <c r="AB555" s="49">
        <f>SUMIF('Antelope Bailey Split BA'!$B$7:$B$29,B555,'Antelope Bailey Split BA'!$C$7:$C$29)</f>
        <v>0</v>
      </c>
      <c r="AC555" s="49" t="str">
        <f>IF(AND(AB555=1,'Plant Total by Account'!$H$1=2),"EKWRA","")</f>
        <v/>
      </c>
    </row>
    <row r="556" spans="1:29" x14ac:dyDescent="0.2">
      <c r="A556" s="39" t="s">
        <v>3066</v>
      </c>
      <c r="B556" s="45" t="s">
        <v>677</v>
      </c>
      <c r="C556" s="40" t="s">
        <v>3334</v>
      </c>
      <c r="D556" s="53">
        <v>7528.7</v>
      </c>
      <c r="E556" s="53">
        <v>50955.11</v>
      </c>
      <c r="F556" s="53">
        <v>1658467.15</v>
      </c>
      <c r="G556" s="578">
        <f t="shared" si="75"/>
        <v>1716950.96</v>
      </c>
      <c r="H556" s="41"/>
      <c r="I556" s="41"/>
      <c r="J556" s="41"/>
      <c r="K556" s="41">
        <f t="shared" si="77"/>
        <v>7528.7</v>
      </c>
      <c r="L556" s="41">
        <f t="shared" si="78"/>
        <v>50955.11</v>
      </c>
      <c r="M556" s="41">
        <f t="shared" si="79"/>
        <v>1658467.15</v>
      </c>
      <c r="N556" s="363">
        <f t="shared" si="76"/>
        <v>0</v>
      </c>
      <c r="O556" s="43" t="s">
        <v>3309</v>
      </c>
      <c r="P556" s="43"/>
      <c r="R556" s="41">
        <f t="shared" si="72"/>
        <v>0</v>
      </c>
      <c r="S556" s="41">
        <f t="shared" si="73"/>
        <v>0</v>
      </c>
      <c r="T556" s="41">
        <f t="shared" si="74"/>
        <v>0</v>
      </c>
      <c r="U556" s="41"/>
      <c r="V556" s="44" t="str">
        <f>IF($P556="High",$S556,IF($P556="Mix",SUMIF('High_Low Voltage Mix Summary'!$B$10:$B$17,$B402,'High_Low Voltage Mix Summary'!$D$10:$D$17),""))</f>
        <v/>
      </c>
      <c r="W556" s="44" t="str">
        <f>IF($P556="Low",$S556,IF($P556="Mix",SUMIF('High_Low Voltage Mix Summary'!$B$10:$B$17,$B402,'High_Low Voltage Mix Summary'!$E$10:$E$17),""))</f>
        <v/>
      </c>
      <c r="X556" s="44" t="str">
        <f>IF($P556="High",$T556,IF($P556="Mix",SUMIF('High_Low Voltage Mix Summary'!$B$10:$B$17,$B402,'High_Low Voltage Mix Summary'!$F$10:$F$17),""))</f>
        <v/>
      </c>
      <c r="Y556" s="44" t="str">
        <f>IF($P556="Low",$T556,IF($P556="Mix",SUMIF('High_Low Voltage Mix Summary'!$B$10:$B$17,$B402,'High_Low Voltage Mix Summary'!$G$10:$G$17),""))</f>
        <v/>
      </c>
      <c r="Z556" s="44" t="str">
        <f>IF(OR($P556="High",$P556="Low"),"",IF($P556="Mix",SUMIF('High_Low Voltage Mix Summary'!$B$10:$B$17,$B402,'High_Low Voltage Mix Summary'!$H$10:$H$17),""))</f>
        <v/>
      </c>
      <c r="AB556" s="49">
        <f>SUMIF('Antelope Bailey Split BA'!$B$7:$B$29,B556,'Antelope Bailey Split BA'!$C$7:$C$29)</f>
        <v>0</v>
      </c>
      <c r="AC556" s="49" t="str">
        <f>IF(AND(AB556=1,'Plant Total by Account'!$H$1=2),"EKWRA","")</f>
        <v/>
      </c>
    </row>
    <row r="557" spans="1:29" x14ac:dyDescent="0.2">
      <c r="A557" s="39" t="s">
        <v>3067</v>
      </c>
      <c r="B557" s="45" t="s">
        <v>678</v>
      </c>
      <c r="C557" s="40" t="s">
        <v>3333</v>
      </c>
      <c r="D557" s="53">
        <v>1200.31</v>
      </c>
      <c r="E557" s="53">
        <v>15801.380000000001</v>
      </c>
      <c r="F557" s="53">
        <v>991591.43999999971</v>
      </c>
      <c r="G557" s="578">
        <f t="shared" si="75"/>
        <v>1008593.1299999997</v>
      </c>
      <c r="H557" s="41"/>
      <c r="I557" s="41"/>
      <c r="J557" s="41"/>
      <c r="K557" s="41">
        <f t="shared" si="77"/>
        <v>1200.31</v>
      </c>
      <c r="L557" s="41">
        <f t="shared" si="78"/>
        <v>15801.380000000001</v>
      </c>
      <c r="M557" s="41">
        <f t="shared" si="79"/>
        <v>991591.43999999971</v>
      </c>
      <c r="N557" s="363">
        <f t="shared" si="76"/>
        <v>0</v>
      </c>
      <c r="O557" s="43" t="s">
        <v>3309</v>
      </c>
      <c r="P557" s="43"/>
      <c r="R557" s="41">
        <f t="shared" si="72"/>
        <v>0</v>
      </c>
      <c r="S557" s="41">
        <f t="shared" si="73"/>
        <v>0</v>
      </c>
      <c r="T557" s="41">
        <f t="shared" si="74"/>
        <v>0</v>
      </c>
      <c r="U557" s="41"/>
      <c r="V557" s="44" t="str">
        <f>IF($P557="High",$S557,IF($P557="Mix",SUMIF('High_Low Voltage Mix Summary'!$B$10:$B$17,$B403,'High_Low Voltage Mix Summary'!$D$10:$D$17),""))</f>
        <v/>
      </c>
      <c r="W557" s="44" t="str">
        <f>IF($P557="Low",$S557,IF($P557="Mix",SUMIF('High_Low Voltage Mix Summary'!$B$10:$B$17,$B403,'High_Low Voltage Mix Summary'!$E$10:$E$17),""))</f>
        <v/>
      </c>
      <c r="X557" s="44" t="str">
        <f>IF($P557="High",$T557,IF($P557="Mix",SUMIF('High_Low Voltage Mix Summary'!$B$10:$B$17,$B403,'High_Low Voltage Mix Summary'!$F$10:$F$17),""))</f>
        <v/>
      </c>
      <c r="Y557" s="44" t="str">
        <f>IF($P557="Low",$T557,IF($P557="Mix",SUMIF('High_Low Voltage Mix Summary'!$B$10:$B$17,$B403,'High_Low Voltage Mix Summary'!$G$10:$G$17),""))</f>
        <v/>
      </c>
      <c r="Z557" s="44" t="str">
        <f>IF(OR($P557="High",$P557="Low"),"",IF($P557="Mix",SUMIF('High_Low Voltage Mix Summary'!$B$10:$B$17,$B403,'High_Low Voltage Mix Summary'!$H$10:$H$17),""))</f>
        <v/>
      </c>
      <c r="AB557" s="49">
        <f>SUMIF('Antelope Bailey Split BA'!$B$7:$B$29,B557,'Antelope Bailey Split BA'!$C$7:$C$29)</f>
        <v>0</v>
      </c>
      <c r="AC557" s="49" t="str">
        <f>IF(AND(AB557=1,'Plant Total by Account'!$H$1=2),"EKWRA","")</f>
        <v/>
      </c>
    </row>
    <row r="558" spans="1:29" x14ac:dyDescent="0.2">
      <c r="A558" s="39" t="s">
        <v>3068</v>
      </c>
      <c r="B558" s="45" t="s">
        <v>679</v>
      </c>
      <c r="C558" s="40" t="s">
        <v>3334</v>
      </c>
      <c r="D558" s="53">
        <v>11216.269999999999</v>
      </c>
      <c r="E558" s="53">
        <v>387695.25</v>
      </c>
      <c r="F558" s="53">
        <v>6100920.1400000006</v>
      </c>
      <c r="G558" s="578">
        <f t="shared" si="75"/>
        <v>6499831.6600000001</v>
      </c>
      <c r="H558" s="41"/>
      <c r="I558" s="41"/>
      <c r="J558" s="41"/>
      <c r="K558" s="41">
        <f t="shared" si="77"/>
        <v>11216.269999999999</v>
      </c>
      <c r="L558" s="41">
        <f t="shared" si="78"/>
        <v>387695.25</v>
      </c>
      <c r="M558" s="41">
        <f t="shared" si="79"/>
        <v>6100920.1400000006</v>
      </c>
      <c r="N558" s="363">
        <f t="shared" si="76"/>
        <v>0</v>
      </c>
      <c r="O558" s="43" t="s">
        <v>3309</v>
      </c>
      <c r="P558" s="43"/>
      <c r="R558" s="41">
        <f t="shared" si="72"/>
        <v>0</v>
      </c>
      <c r="S558" s="41">
        <f t="shared" si="73"/>
        <v>0</v>
      </c>
      <c r="T558" s="41">
        <f t="shared" si="74"/>
        <v>0</v>
      </c>
      <c r="U558" s="41"/>
      <c r="V558" s="44" t="str">
        <f>IF($P558="High",$S558,IF($P558="Mix",SUMIF('High_Low Voltage Mix Summary'!$B$10:$B$17,#REF!,'High_Low Voltage Mix Summary'!$D$10:$D$17),""))</f>
        <v/>
      </c>
      <c r="W558" s="44" t="str">
        <f>IF($P558="Low",$S558,IF($P558="Mix",SUMIF('High_Low Voltage Mix Summary'!$B$10:$B$17,#REF!,'High_Low Voltage Mix Summary'!$E$10:$E$17),""))</f>
        <v/>
      </c>
      <c r="X558" s="44" t="str">
        <f>IF($P558="High",$T558,IF($P558="Mix",SUMIF('High_Low Voltage Mix Summary'!$B$10:$B$17,#REF!,'High_Low Voltage Mix Summary'!$F$10:$F$17),""))</f>
        <v/>
      </c>
      <c r="Y558" s="44" t="str">
        <f>IF($P558="Low",$T558,IF($P558="Mix",SUMIF('High_Low Voltage Mix Summary'!$B$10:$B$17,#REF!,'High_Low Voltage Mix Summary'!$G$10:$G$17),""))</f>
        <v/>
      </c>
      <c r="Z558" s="44" t="str">
        <f>IF(OR($P558="High",$P558="Low"),"",IF($P558="Mix",SUMIF('High_Low Voltage Mix Summary'!$B$10:$B$17,#REF!,'High_Low Voltage Mix Summary'!$H$10:$H$17),""))</f>
        <v/>
      </c>
      <c r="AB558" s="49">
        <f>SUMIF('Antelope Bailey Split BA'!$B$7:$B$29,B558,'Antelope Bailey Split BA'!$C$7:$C$29)</f>
        <v>0</v>
      </c>
      <c r="AC558" s="49" t="str">
        <f>IF(AND(AB558=1,'Plant Total by Account'!$H$1=2),"EKWRA","")</f>
        <v/>
      </c>
    </row>
    <row r="559" spans="1:29" x14ac:dyDescent="0.2">
      <c r="A559" s="39" t="s">
        <v>3069</v>
      </c>
      <c r="B559" s="45" t="s">
        <v>680</v>
      </c>
      <c r="C559" s="40" t="s">
        <v>3334</v>
      </c>
      <c r="D559" s="53">
        <v>22376.61</v>
      </c>
      <c r="E559" s="53">
        <v>75712.930000000008</v>
      </c>
      <c r="F559" s="53">
        <v>3238830.8499999982</v>
      </c>
      <c r="G559" s="578">
        <f t="shared" si="75"/>
        <v>3336920.3899999983</v>
      </c>
      <c r="H559" s="41"/>
      <c r="I559" s="41"/>
      <c r="J559" s="41"/>
      <c r="K559" s="41">
        <f t="shared" si="77"/>
        <v>22376.61</v>
      </c>
      <c r="L559" s="41">
        <f t="shared" si="78"/>
        <v>75712.930000000008</v>
      </c>
      <c r="M559" s="41">
        <f t="shared" si="79"/>
        <v>3238830.8499999982</v>
      </c>
      <c r="N559" s="363">
        <f t="shared" si="76"/>
        <v>0</v>
      </c>
      <c r="O559" s="43" t="s">
        <v>3309</v>
      </c>
      <c r="P559" s="43"/>
      <c r="R559" s="41">
        <f t="shared" si="72"/>
        <v>0</v>
      </c>
      <c r="S559" s="41">
        <f t="shared" si="73"/>
        <v>0</v>
      </c>
      <c r="T559" s="41">
        <f t="shared" si="74"/>
        <v>0</v>
      </c>
      <c r="U559" s="41"/>
      <c r="V559" s="44" t="str">
        <f>IF($P559="High",$S559,IF($P559="Mix",SUMIF('High_Low Voltage Mix Summary'!$B$10:$B$17,$B404,'High_Low Voltage Mix Summary'!$D$10:$D$17),""))</f>
        <v/>
      </c>
      <c r="W559" s="44" t="str">
        <f>IF($P559="Low",$S559,IF($P559="Mix",SUMIF('High_Low Voltage Mix Summary'!$B$10:$B$17,$B404,'High_Low Voltage Mix Summary'!$E$10:$E$17),""))</f>
        <v/>
      </c>
      <c r="X559" s="44" t="str">
        <f>IF($P559="High",$T559,IF($P559="Mix",SUMIF('High_Low Voltage Mix Summary'!$B$10:$B$17,$B404,'High_Low Voltage Mix Summary'!$F$10:$F$17),""))</f>
        <v/>
      </c>
      <c r="Y559" s="44" t="str">
        <f>IF($P559="Low",$T559,IF($P559="Mix",SUMIF('High_Low Voltage Mix Summary'!$B$10:$B$17,$B404,'High_Low Voltage Mix Summary'!$G$10:$G$17),""))</f>
        <v/>
      </c>
      <c r="Z559" s="44" t="str">
        <f>IF(OR($P559="High",$P559="Low"),"",IF($P559="Mix",SUMIF('High_Low Voltage Mix Summary'!$B$10:$B$17,$B404,'High_Low Voltage Mix Summary'!$H$10:$H$17),""))</f>
        <v/>
      </c>
      <c r="AB559" s="49">
        <f>SUMIF('Antelope Bailey Split BA'!$B$7:$B$29,B559,'Antelope Bailey Split BA'!$C$7:$C$29)</f>
        <v>0</v>
      </c>
      <c r="AC559" s="49" t="str">
        <f>IF(AND(AB559=1,'Plant Total by Account'!$H$1=2),"EKWRA","")</f>
        <v/>
      </c>
    </row>
    <row r="560" spans="1:29" x14ac:dyDescent="0.2">
      <c r="A560" s="39" t="s">
        <v>3070</v>
      </c>
      <c r="B560" s="45" t="s">
        <v>681</v>
      </c>
      <c r="C560" s="40" t="s">
        <v>3334</v>
      </c>
      <c r="D560" s="53">
        <v>0</v>
      </c>
      <c r="E560" s="53">
        <v>12378.95</v>
      </c>
      <c r="F560" s="53">
        <v>282870.90999999992</v>
      </c>
      <c r="G560" s="578">
        <f t="shared" si="75"/>
        <v>295249.85999999993</v>
      </c>
      <c r="H560" s="41"/>
      <c r="I560" s="41"/>
      <c r="J560" s="41"/>
      <c r="K560" s="41">
        <f t="shared" si="77"/>
        <v>0</v>
      </c>
      <c r="L560" s="41">
        <f t="shared" si="78"/>
        <v>12378.95</v>
      </c>
      <c r="M560" s="41">
        <f t="shared" si="79"/>
        <v>282870.90999999992</v>
      </c>
      <c r="N560" s="363">
        <f t="shared" si="76"/>
        <v>0</v>
      </c>
      <c r="O560" s="43" t="s">
        <v>3309</v>
      </c>
      <c r="P560" s="43"/>
      <c r="R560" s="41">
        <f t="shared" si="72"/>
        <v>0</v>
      </c>
      <c r="S560" s="41">
        <f t="shared" si="73"/>
        <v>0</v>
      </c>
      <c r="T560" s="41">
        <f t="shared" si="74"/>
        <v>0</v>
      </c>
      <c r="U560" s="41"/>
      <c r="V560" s="44" t="str">
        <f>IF($P560="High",$S560,IF($P560="Mix",SUMIF('High_Low Voltage Mix Summary'!$B$10:$B$17,$B405,'High_Low Voltage Mix Summary'!$D$10:$D$17),""))</f>
        <v/>
      </c>
      <c r="W560" s="44" t="str">
        <f>IF($P560="Low",$S560,IF($P560="Mix",SUMIF('High_Low Voltage Mix Summary'!$B$10:$B$17,$B405,'High_Low Voltage Mix Summary'!$E$10:$E$17),""))</f>
        <v/>
      </c>
      <c r="X560" s="44" t="str">
        <f>IF($P560="High",$T560,IF($P560="Mix",SUMIF('High_Low Voltage Mix Summary'!$B$10:$B$17,$B405,'High_Low Voltage Mix Summary'!$F$10:$F$17),""))</f>
        <v/>
      </c>
      <c r="Y560" s="44" t="str">
        <f>IF($P560="Low",$T560,IF($P560="Mix",SUMIF('High_Low Voltage Mix Summary'!$B$10:$B$17,$B405,'High_Low Voltage Mix Summary'!$G$10:$G$17),""))</f>
        <v/>
      </c>
      <c r="Z560" s="44" t="str">
        <f>IF(OR($P560="High",$P560="Low"),"",IF($P560="Mix",SUMIF('High_Low Voltage Mix Summary'!$B$10:$B$17,$B405,'High_Low Voltage Mix Summary'!$H$10:$H$17),""))</f>
        <v/>
      </c>
      <c r="AB560" s="49">
        <f>SUMIF('Antelope Bailey Split BA'!$B$7:$B$29,B560,'Antelope Bailey Split BA'!$C$7:$C$29)</f>
        <v>0</v>
      </c>
      <c r="AC560" s="49" t="str">
        <f>IF(AND(AB560=1,'Plant Total by Account'!$H$1=2),"EKWRA","")</f>
        <v/>
      </c>
    </row>
    <row r="561" spans="1:29" x14ac:dyDescent="0.2">
      <c r="A561" s="39" t="s">
        <v>3071</v>
      </c>
      <c r="B561" s="45" t="s">
        <v>682</v>
      </c>
      <c r="C561" s="40" t="s">
        <v>3333</v>
      </c>
      <c r="D561" s="53">
        <v>2942.93</v>
      </c>
      <c r="E561" s="53">
        <v>38358.379999999997</v>
      </c>
      <c r="F561" s="53">
        <v>475038.32</v>
      </c>
      <c r="G561" s="578">
        <f t="shared" si="75"/>
        <v>516339.63</v>
      </c>
      <c r="H561" s="41"/>
      <c r="I561" s="41"/>
      <c r="J561" s="41"/>
      <c r="K561" s="41">
        <f t="shared" si="77"/>
        <v>2942.93</v>
      </c>
      <c r="L561" s="41">
        <f t="shared" si="78"/>
        <v>38358.379999999997</v>
      </c>
      <c r="M561" s="41">
        <f t="shared" si="79"/>
        <v>475038.32</v>
      </c>
      <c r="N561" s="363">
        <f t="shared" si="76"/>
        <v>0</v>
      </c>
      <c r="O561" s="43" t="s">
        <v>3309</v>
      </c>
      <c r="P561" s="43"/>
      <c r="R561" s="41">
        <f t="shared" si="72"/>
        <v>0</v>
      </c>
      <c r="S561" s="41">
        <f t="shared" si="73"/>
        <v>0</v>
      </c>
      <c r="T561" s="41">
        <f t="shared" si="74"/>
        <v>0</v>
      </c>
      <c r="U561" s="41"/>
      <c r="V561" s="44" t="str">
        <f>IF($P561="High",$S561,IF($P561="Mix",SUMIF('High_Low Voltage Mix Summary'!$B$10:$B$17,$B406,'High_Low Voltage Mix Summary'!$D$10:$D$17),""))</f>
        <v/>
      </c>
      <c r="W561" s="44" t="str">
        <f>IF($P561="Low",$S561,IF($P561="Mix",SUMIF('High_Low Voltage Mix Summary'!$B$10:$B$17,$B406,'High_Low Voltage Mix Summary'!$E$10:$E$17),""))</f>
        <v/>
      </c>
      <c r="X561" s="44" t="str">
        <f>IF($P561="High",$T561,IF($P561="Mix",SUMIF('High_Low Voltage Mix Summary'!$B$10:$B$17,$B406,'High_Low Voltage Mix Summary'!$F$10:$F$17),""))</f>
        <v/>
      </c>
      <c r="Y561" s="44" t="str">
        <f>IF($P561="Low",$T561,IF($P561="Mix",SUMIF('High_Low Voltage Mix Summary'!$B$10:$B$17,$B406,'High_Low Voltage Mix Summary'!$G$10:$G$17),""))</f>
        <v/>
      </c>
      <c r="Z561" s="44" t="str">
        <f>IF(OR($P561="High",$P561="Low"),"",IF($P561="Mix",SUMIF('High_Low Voltage Mix Summary'!$B$10:$B$17,$B406,'High_Low Voltage Mix Summary'!$H$10:$H$17),""))</f>
        <v/>
      </c>
      <c r="AB561" s="49">
        <f>SUMIF('Antelope Bailey Split BA'!$B$7:$B$29,B561,'Antelope Bailey Split BA'!$C$7:$C$29)</f>
        <v>0</v>
      </c>
      <c r="AC561" s="49" t="str">
        <f>IF(AND(AB561=1,'Plant Total by Account'!$H$1=2),"EKWRA","")</f>
        <v/>
      </c>
    </row>
    <row r="562" spans="1:29" x14ac:dyDescent="0.2">
      <c r="A562" s="39" t="s">
        <v>3072</v>
      </c>
      <c r="B562" s="45" t="s">
        <v>683</v>
      </c>
      <c r="C562" s="40" t="s">
        <v>3334</v>
      </c>
      <c r="D562" s="53">
        <v>0</v>
      </c>
      <c r="E562" s="53">
        <v>16316.55</v>
      </c>
      <c r="F562" s="53">
        <v>238826.84999999998</v>
      </c>
      <c r="G562" s="578">
        <f t="shared" si="75"/>
        <v>255143.39999999997</v>
      </c>
      <c r="H562" s="41"/>
      <c r="I562" s="41"/>
      <c r="J562" s="41"/>
      <c r="K562" s="41">
        <f t="shared" si="77"/>
        <v>0</v>
      </c>
      <c r="L562" s="41">
        <f t="shared" si="78"/>
        <v>16316.55</v>
      </c>
      <c r="M562" s="41">
        <f t="shared" si="79"/>
        <v>238826.84999999998</v>
      </c>
      <c r="N562" s="363">
        <f t="shared" si="76"/>
        <v>0</v>
      </c>
      <c r="O562" s="43" t="s">
        <v>3309</v>
      </c>
      <c r="P562" s="43"/>
      <c r="R562" s="41">
        <f t="shared" si="72"/>
        <v>0</v>
      </c>
      <c r="S562" s="41">
        <f t="shared" si="73"/>
        <v>0</v>
      </c>
      <c r="T562" s="41">
        <f t="shared" si="74"/>
        <v>0</v>
      </c>
      <c r="U562" s="41"/>
      <c r="V562" s="44" t="str">
        <f>IF($P562="High",$S562,IF($P562="Mix",SUMIF('High_Low Voltage Mix Summary'!$B$10:$B$17,#REF!,'High_Low Voltage Mix Summary'!$D$10:$D$17),""))</f>
        <v/>
      </c>
      <c r="W562" s="44" t="str">
        <f>IF($P562="Low",$S562,IF($P562="Mix",SUMIF('High_Low Voltage Mix Summary'!$B$10:$B$17,#REF!,'High_Low Voltage Mix Summary'!$E$10:$E$17),""))</f>
        <v/>
      </c>
      <c r="X562" s="44" t="str">
        <f>IF($P562="High",$T562,IF($P562="Mix",SUMIF('High_Low Voltage Mix Summary'!$B$10:$B$17,#REF!,'High_Low Voltage Mix Summary'!$F$10:$F$17),""))</f>
        <v/>
      </c>
      <c r="Y562" s="44" t="str">
        <f>IF($P562="Low",$T562,IF($P562="Mix",SUMIF('High_Low Voltage Mix Summary'!$B$10:$B$17,#REF!,'High_Low Voltage Mix Summary'!$G$10:$G$17),""))</f>
        <v/>
      </c>
      <c r="Z562" s="44" t="str">
        <f>IF(OR($P562="High",$P562="Low"),"",IF($P562="Mix",SUMIF('High_Low Voltage Mix Summary'!$B$10:$B$17,#REF!,'High_Low Voltage Mix Summary'!$H$10:$H$17),""))</f>
        <v/>
      </c>
      <c r="AB562" s="49">
        <f>SUMIF('Antelope Bailey Split BA'!$B$7:$B$29,B562,'Antelope Bailey Split BA'!$C$7:$C$29)</f>
        <v>0</v>
      </c>
      <c r="AC562" s="49" t="str">
        <f>IF(AND(AB562=1,'Plant Total by Account'!$H$1=2),"EKWRA","")</f>
        <v/>
      </c>
    </row>
    <row r="563" spans="1:29" x14ac:dyDescent="0.2">
      <c r="A563" s="39" t="s">
        <v>3073</v>
      </c>
      <c r="B563" s="45" t="s">
        <v>684</v>
      </c>
      <c r="C563" s="40" t="s">
        <v>3334</v>
      </c>
      <c r="D563" s="53">
        <v>30304.78</v>
      </c>
      <c r="E563" s="53">
        <v>243990.08000000002</v>
      </c>
      <c r="F563" s="53">
        <v>4393533.5200000033</v>
      </c>
      <c r="G563" s="578">
        <f t="shared" si="75"/>
        <v>4667828.3800000036</v>
      </c>
      <c r="H563" s="41"/>
      <c r="I563" s="41"/>
      <c r="J563" s="41"/>
      <c r="K563" s="41">
        <f t="shared" si="77"/>
        <v>30304.78</v>
      </c>
      <c r="L563" s="41">
        <f t="shared" si="78"/>
        <v>243990.08000000002</v>
      </c>
      <c r="M563" s="41">
        <f t="shared" si="79"/>
        <v>4393533.5200000033</v>
      </c>
      <c r="N563" s="363">
        <f t="shared" si="76"/>
        <v>0</v>
      </c>
      <c r="O563" s="43" t="s">
        <v>3309</v>
      </c>
      <c r="P563" s="43"/>
      <c r="R563" s="41">
        <f t="shared" si="72"/>
        <v>0</v>
      </c>
      <c r="S563" s="41">
        <f t="shared" si="73"/>
        <v>0</v>
      </c>
      <c r="T563" s="41">
        <f t="shared" si="74"/>
        <v>0</v>
      </c>
      <c r="U563" s="41"/>
      <c r="V563" s="44" t="str">
        <f>IF($P563="High",$S563,IF($P563="Mix",SUMIF('High_Low Voltage Mix Summary'!$B$10:$B$17,$B407,'High_Low Voltage Mix Summary'!$D$10:$D$17),""))</f>
        <v/>
      </c>
      <c r="W563" s="44" t="str">
        <f>IF($P563="Low",$S563,IF($P563="Mix",SUMIF('High_Low Voltage Mix Summary'!$B$10:$B$17,$B407,'High_Low Voltage Mix Summary'!$E$10:$E$17),""))</f>
        <v/>
      </c>
      <c r="X563" s="44" t="str">
        <f>IF($P563="High",$T563,IF($P563="Mix",SUMIF('High_Low Voltage Mix Summary'!$B$10:$B$17,$B407,'High_Low Voltage Mix Summary'!$F$10:$F$17),""))</f>
        <v/>
      </c>
      <c r="Y563" s="44" t="str">
        <f>IF($P563="Low",$T563,IF($P563="Mix",SUMIF('High_Low Voltage Mix Summary'!$B$10:$B$17,$B407,'High_Low Voltage Mix Summary'!$G$10:$G$17),""))</f>
        <v/>
      </c>
      <c r="Z563" s="44" t="str">
        <f>IF(OR($P563="High",$P563="Low"),"",IF($P563="Mix",SUMIF('High_Low Voltage Mix Summary'!$B$10:$B$17,$B407,'High_Low Voltage Mix Summary'!$H$10:$H$17),""))</f>
        <v/>
      </c>
      <c r="AB563" s="49">
        <f>SUMIF('Antelope Bailey Split BA'!$B$7:$B$29,B563,'Antelope Bailey Split BA'!$C$7:$C$29)</f>
        <v>0</v>
      </c>
      <c r="AC563" s="49" t="str">
        <f>IF(AND(AB563=1,'Plant Total by Account'!$H$1=2),"EKWRA","")</f>
        <v/>
      </c>
    </row>
    <row r="564" spans="1:29" x14ac:dyDescent="0.2">
      <c r="A564" s="39" t="s">
        <v>3074</v>
      </c>
      <c r="B564" s="45" t="s">
        <v>685</v>
      </c>
      <c r="C564" s="40" t="s">
        <v>3333</v>
      </c>
      <c r="D564" s="53">
        <v>12168.789999999999</v>
      </c>
      <c r="E564" s="53">
        <v>419849.12000000005</v>
      </c>
      <c r="F564" s="53">
        <v>1875275.8900000006</v>
      </c>
      <c r="G564" s="578">
        <f t="shared" si="75"/>
        <v>2307293.8000000007</v>
      </c>
      <c r="H564" s="41"/>
      <c r="I564" s="41"/>
      <c r="J564" s="41"/>
      <c r="K564" s="41">
        <f t="shared" si="77"/>
        <v>12168.789999999999</v>
      </c>
      <c r="L564" s="41">
        <f t="shared" si="78"/>
        <v>419849.12000000005</v>
      </c>
      <c r="M564" s="41">
        <f t="shared" si="79"/>
        <v>1875275.8900000006</v>
      </c>
      <c r="N564" s="363">
        <f t="shared" si="76"/>
        <v>0</v>
      </c>
      <c r="O564" s="43" t="s">
        <v>3309</v>
      </c>
      <c r="P564" s="43"/>
      <c r="R564" s="41">
        <f t="shared" si="72"/>
        <v>0</v>
      </c>
      <c r="S564" s="41">
        <f t="shared" si="73"/>
        <v>0</v>
      </c>
      <c r="T564" s="41">
        <f t="shared" si="74"/>
        <v>0</v>
      </c>
      <c r="U564" s="41"/>
      <c r="V564" s="44" t="str">
        <f>IF($P564="High",$S564,IF($P564="Mix",SUMIF('High_Low Voltage Mix Summary'!$B$10:$B$17,$B408,'High_Low Voltage Mix Summary'!$D$10:$D$17),""))</f>
        <v/>
      </c>
      <c r="W564" s="44" t="str">
        <f>IF($P564="Low",$S564,IF($P564="Mix",SUMIF('High_Low Voltage Mix Summary'!$B$10:$B$17,$B408,'High_Low Voltage Mix Summary'!$E$10:$E$17),""))</f>
        <v/>
      </c>
      <c r="X564" s="44" t="str">
        <f>IF($P564="High",$T564,IF($P564="Mix",SUMIF('High_Low Voltage Mix Summary'!$B$10:$B$17,$B408,'High_Low Voltage Mix Summary'!$F$10:$F$17),""))</f>
        <v/>
      </c>
      <c r="Y564" s="44" t="str">
        <f>IF($P564="Low",$T564,IF($P564="Mix",SUMIF('High_Low Voltage Mix Summary'!$B$10:$B$17,$B408,'High_Low Voltage Mix Summary'!$G$10:$G$17),""))</f>
        <v/>
      </c>
      <c r="Z564" s="44" t="str">
        <f>IF(OR($P564="High",$P564="Low"),"",IF($P564="Mix",SUMIF('High_Low Voltage Mix Summary'!$B$10:$B$17,$B408,'High_Low Voltage Mix Summary'!$H$10:$H$17),""))</f>
        <v/>
      </c>
      <c r="AB564" s="49">
        <f>SUMIF('Antelope Bailey Split BA'!$B$7:$B$29,B564,'Antelope Bailey Split BA'!$C$7:$C$29)</f>
        <v>0</v>
      </c>
      <c r="AC564" s="49" t="str">
        <f>IF(AND(AB564=1,'Plant Total by Account'!$H$1=2),"EKWRA","")</f>
        <v/>
      </c>
    </row>
    <row r="565" spans="1:29" x14ac:dyDescent="0.2">
      <c r="A565" s="39" t="s">
        <v>3075</v>
      </c>
      <c r="B565" s="45" t="s">
        <v>686</v>
      </c>
      <c r="C565" s="40" t="s">
        <v>3333</v>
      </c>
      <c r="D565" s="53">
        <v>4957.3</v>
      </c>
      <c r="E565" s="53">
        <v>42505.16</v>
      </c>
      <c r="F565" s="53">
        <v>439036.54000000004</v>
      </c>
      <c r="G565" s="578">
        <f t="shared" si="75"/>
        <v>486499.00000000006</v>
      </c>
      <c r="H565" s="41"/>
      <c r="I565" s="41"/>
      <c r="J565" s="41"/>
      <c r="K565" s="41">
        <f t="shared" si="77"/>
        <v>4957.3</v>
      </c>
      <c r="L565" s="41">
        <f t="shared" si="78"/>
        <v>42505.16</v>
      </c>
      <c r="M565" s="41">
        <f t="shared" si="79"/>
        <v>439036.54000000004</v>
      </c>
      <c r="N565" s="363">
        <f t="shared" si="76"/>
        <v>0</v>
      </c>
      <c r="O565" s="43" t="s">
        <v>3309</v>
      </c>
      <c r="P565" s="43"/>
      <c r="R565" s="41">
        <f t="shared" si="72"/>
        <v>0</v>
      </c>
      <c r="S565" s="41">
        <f t="shared" si="73"/>
        <v>0</v>
      </c>
      <c r="T565" s="41">
        <f t="shared" si="74"/>
        <v>0</v>
      </c>
      <c r="U565" s="41"/>
      <c r="V565" s="44" t="str">
        <f>IF($P565="High",$S565,IF($P565="Mix",SUMIF('High_Low Voltage Mix Summary'!$B$10:$B$17,#REF!,'High_Low Voltage Mix Summary'!$D$10:$D$17),""))</f>
        <v/>
      </c>
      <c r="W565" s="44" t="str">
        <f>IF($P565="Low",$S565,IF($P565="Mix",SUMIF('High_Low Voltage Mix Summary'!$B$10:$B$17,#REF!,'High_Low Voltage Mix Summary'!$E$10:$E$17),""))</f>
        <v/>
      </c>
      <c r="X565" s="44" t="str">
        <f>IF($P565="High",$T565,IF($P565="Mix",SUMIF('High_Low Voltage Mix Summary'!$B$10:$B$17,#REF!,'High_Low Voltage Mix Summary'!$F$10:$F$17),""))</f>
        <v/>
      </c>
      <c r="Y565" s="44" t="str">
        <f>IF($P565="Low",$T565,IF($P565="Mix",SUMIF('High_Low Voltage Mix Summary'!$B$10:$B$17,#REF!,'High_Low Voltage Mix Summary'!$G$10:$G$17),""))</f>
        <v/>
      </c>
      <c r="Z565" s="44" t="str">
        <f>IF(OR($P565="High",$P565="Low"),"",IF($P565="Mix",SUMIF('High_Low Voltage Mix Summary'!$B$10:$B$17,#REF!,'High_Low Voltage Mix Summary'!$H$10:$H$17),""))</f>
        <v/>
      </c>
      <c r="AB565" s="49">
        <f>SUMIF('Antelope Bailey Split BA'!$B$7:$B$29,B565,'Antelope Bailey Split BA'!$C$7:$C$29)</f>
        <v>0</v>
      </c>
      <c r="AC565" s="49" t="str">
        <f>IF(AND(AB565=1,'Plant Total by Account'!$H$1=2),"EKWRA","")</f>
        <v/>
      </c>
    </row>
    <row r="566" spans="1:29" x14ac:dyDescent="0.2">
      <c r="A566" s="39" t="s">
        <v>3076</v>
      </c>
      <c r="B566" s="45" t="s">
        <v>687</v>
      </c>
      <c r="C566" s="40" t="s">
        <v>3333</v>
      </c>
      <c r="D566" s="53">
        <v>18551.61</v>
      </c>
      <c r="E566" s="53">
        <v>58706.119999999995</v>
      </c>
      <c r="F566" s="53">
        <v>540250.18999999971</v>
      </c>
      <c r="G566" s="578">
        <f t="shared" si="75"/>
        <v>617507.91999999969</v>
      </c>
      <c r="H566" s="41"/>
      <c r="I566" s="41"/>
      <c r="J566" s="41"/>
      <c r="K566" s="41">
        <f t="shared" si="77"/>
        <v>18551.61</v>
      </c>
      <c r="L566" s="41">
        <f t="shared" si="78"/>
        <v>58706.119999999995</v>
      </c>
      <c r="M566" s="41">
        <f t="shared" si="79"/>
        <v>540250.18999999971</v>
      </c>
      <c r="N566" s="363">
        <f t="shared" si="76"/>
        <v>0</v>
      </c>
      <c r="O566" s="43" t="s">
        <v>3309</v>
      </c>
      <c r="P566" s="43"/>
      <c r="R566" s="41">
        <f t="shared" si="72"/>
        <v>0</v>
      </c>
      <c r="S566" s="41">
        <f t="shared" si="73"/>
        <v>0</v>
      </c>
      <c r="T566" s="41">
        <f t="shared" si="74"/>
        <v>0</v>
      </c>
      <c r="U566" s="41"/>
      <c r="V566" s="44" t="str">
        <f>IF($P566="High",$S566,IF($P566="Mix",SUMIF('High_Low Voltage Mix Summary'!$B$10:$B$17,#REF!,'High_Low Voltage Mix Summary'!$D$10:$D$17),""))</f>
        <v/>
      </c>
      <c r="W566" s="44" t="str">
        <f>IF($P566="Low",$S566,IF($P566="Mix",SUMIF('High_Low Voltage Mix Summary'!$B$10:$B$17,#REF!,'High_Low Voltage Mix Summary'!$E$10:$E$17),""))</f>
        <v/>
      </c>
      <c r="X566" s="44" t="str">
        <f>IF($P566="High",$T566,IF($P566="Mix",SUMIF('High_Low Voltage Mix Summary'!$B$10:$B$17,#REF!,'High_Low Voltage Mix Summary'!$F$10:$F$17),""))</f>
        <v/>
      </c>
      <c r="Y566" s="44" t="str">
        <f>IF($P566="Low",$T566,IF($P566="Mix",SUMIF('High_Low Voltage Mix Summary'!$B$10:$B$17,#REF!,'High_Low Voltage Mix Summary'!$G$10:$G$17),""))</f>
        <v/>
      </c>
      <c r="Z566" s="44" t="str">
        <f>IF(OR($P566="High",$P566="Low"),"",IF($P566="Mix",SUMIF('High_Low Voltage Mix Summary'!$B$10:$B$17,#REF!,'High_Low Voltage Mix Summary'!$H$10:$H$17),""))</f>
        <v/>
      </c>
      <c r="AB566" s="49">
        <f>SUMIF('Antelope Bailey Split BA'!$B$7:$B$29,B566,'Antelope Bailey Split BA'!$C$7:$C$29)</f>
        <v>0</v>
      </c>
      <c r="AC566" s="49" t="str">
        <f>IF(AND(AB566=1,'Plant Total by Account'!$H$1=2),"EKWRA","")</f>
        <v/>
      </c>
    </row>
    <row r="567" spans="1:29" x14ac:dyDescent="0.2">
      <c r="A567" s="39" t="s">
        <v>3077</v>
      </c>
      <c r="B567" s="45" t="s">
        <v>688</v>
      </c>
      <c r="C567" s="40" t="s">
        <v>3334</v>
      </c>
      <c r="D567" s="53">
        <v>52528.33</v>
      </c>
      <c r="E567" s="53">
        <v>108614.75000000001</v>
      </c>
      <c r="F567" s="53">
        <v>2117993.6899999995</v>
      </c>
      <c r="G567" s="578">
        <f t="shared" si="75"/>
        <v>2279136.7699999996</v>
      </c>
      <c r="H567" s="41"/>
      <c r="I567" s="41"/>
      <c r="J567" s="41"/>
      <c r="K567" s="41">
        <f t="shared" si="77"/>
        <v>52528.33</v>
      </c>
      <c r="L567" s="41">
        <f t="shared" si="78"/>
        <v>108614.75000000001</v>
      </c>
      <c r="M567" s="41">
        <f t="shared" si="79"/>
        <v>2117993.6899999995</v>
      </c>
      <c r="N567" s="363">
        <f t="shared" si="76"/>
        <v>0</v>
      </c>
      <c r="O567" s="43" t="s">
        <v>3309</v>
      </c>
      <c r="P567" s="43"/>
      <c r="R567" s="41">
        <f t="shared" si="72"/>
        <v>0</v>
      </c>
      <c r="S567" s="41">
        <f t="shared" si="73"/>
        <v>0</v>
      </c>
      <c r="T567" s="41">
        <f t="shared" si="74"/>
        <v>0</v>
      </c>
      <c r="U567" s="41"/>
      <c r="V567" s="44" t="str">
        <f>IF($P567="High",$S567,IF($P567="Mix",SUMIF('High_Low Voltage Mix Summary'!$B$10:$B$17,#REF!,'High_Low Voltage Mix Summary'!$D$10:$D$17),""))</f>
        <v/>
      </c>
      <c r="W567" s="44" t="str">
        <f>IF($P567="Low",$S567,IF($P567="Mix",SUMIF('High_Low Voltage Mix Summary'!$B$10:$B$17,#REF!,'High_Low Voltage Mix Summary'!$E$10:$E$17),""))</f>
        <v/>
      </c>
      <c r="X567" s="44" t="str">
        <f>IF($P567="High",$T567,IF($P567="Mix",SUMIF('High_Low Voltage Mix Summary'!$B$10:$B$17,#REF!,'High_Low Voltage Mix Summary'!$F$10:$F$17),""))</f>
        <v/>
      </c>
      <c r="Y567" s="44" t="str">
        <f>IF($P567="Low",$T567,IF($P567="Mix",SUMIF('High_Low Voltage Mix Summary'!$B$10:$B$17,#REF!,'High_Low Voltage Mix Summary'!$G$10:$G$17),""))</f>
        <v/>
      </c>
      <c r="Z567" s="44" t="str">
        <f>IF(OR($P567="High",$P567="Low"),"",IF($P567="Mix",SUMIF('High_Low Voltage Mix Summary'!$B$10:$B$17,#REF!,'High_Low Voltage Mix Summary'!$H$10:$H$17),""))</f>
        <v/>
      </c>
      <c r="AB567" s="49">
        <f>SUMIF('Antelope Bailey Split BA'!$B$7:$B$29,B567,'Antelope Bailey Split BA'!$C$7:$C$29)</f>
        <v>0</v>
      </c>
      <c r="AC567" s="49" t="str">
        <f>IF(AND(AB567=1,'Plant Total by Account'!$H$1=2),"EKWRA","")</f>
        <v/>
      </c>
    </row>
    <row r="568" spans="1:29" x14ac:dyDescent="0.2">
      <c r="A568" s="39" t="s">
        <v>3078</v>
      </c>
      <c r="B568" s="45" t="s">
        <v>689</v>
      </c>
      <c r="C568" s="40" t="s">
        <v>3334</v>
      </c>
      <c r="D568" s="53">
        <v>0</v>
      </c>
      <c r="E568" s="53">
        <v>23526.53</v>
      </c>
      <c r="F568" s="53">
        <v>1391077</v>
      </c>
      <c r="G568" s="578">
        <f t="shared" si="75"/>
        <v>1414603.53</v>
      </c>
      <c r="H568" s="41"/>
      <c r="I568" s="41"/>
      <c r="J568" s="41"/>
      <c r="K568" s="41">
        <f t="shared" si="77"/>
        <v>0</v>
      </c>
      <c r="L568" s="41">
        <f t="shared" si="78"/>
        <v>23526.53</v>
      </c>
      <c r="M568" s="41">
        <f t="shared" si="79"/>
        <v>1391077</v>
      </c>
      <c r="N568" s="363">
        <f t="shared" si="76"/>
        <v>0</v>
      </c>
      <c r="O568" s="43" t="s">
        <v>3309</v>
      </c>
      <c r="P568" s="43"/>
      <c r="R568" s="41">
        <f t="shared" si="72"/>
        <v>0</v>
      </c>
      <c r="S568" s="41">
        <f t="shared" si="73"/>
        <v>0</v>
      </c>
      <c r="T568" s="41">
        <f t="shared" si="74"/>
        <v>0</v>
      </c>
      <c r="U568" s="41"/>
      <c r="V568" s="44" t="str">
        <f>IF($P568="High",$S568,IF($P568="Mix",SUMIF('High_Low Voltage Mix Summary'!$B$10:$B$17,$B409,'High_Low Voltage Mix Summary'!$D$10:$D$17),""))</f>
        <v/>
      </c>
      <c r="W568" s="44" t="str">
        <f>IF($P568="Low",$S568,IF($P568="Mix",SUMIF('High_Low Voltage Mix Summary'!$B$10:$B$17,$B409,'High_Low Voltage Mix Summary'!$E$10:$E$17),""))</f>
        <v/>
      </c>
      <c r="X568" s="44" t="str">
        <f>IF($P568="High",$T568,IF($P568="Mix",SUMIF('High_Low Voltage Mix Summary'!$B$10:$B$17,$B409,'High_Low Voltage Mix Summary'!$F$10:$F$17),""))</f>
        <v/>
      </c>
      <c r="Y568" s="44" t="str">
        <f>IF($P568="Low",$T568,IF($P568="Mix",SUMIF('High_Low Voltage Mix Summary'!$B$10:$B$17,$B409,'High_Low Voltage Mix Summary'!$G$10:$G$17),""))</f>
        <v/>
      </c>
      <c r="Z568" s="44" t="str">
        <f>IF(OR($P568="High",$P568="Low"),"",IF($P568="Mix",SUMIF('High_Low Voltage Mix Summary'!$B$10:$B$17,$B409,'High_Low Voltage Mix Summary'!$H$10:$H$17),""))</f>
        <v/>
      </c>
      <c r="AB568" s="49">
        <f>SUMIF('Antelope Bailey Split BA'!$B$7:$B$29,B568,'Antelope Bailey Split BA'!$C$7:$C$29)</f>
        <v>0</v>
      </c>
      <c r="AC568" s="49" t="str">
        <f>IF(AND(AB568=1,'Plant Total by Account'!$H$1=2),"EKWRA","")</f>
        <v/>
      </c>
    </row>
    <row r="569" spans="1:29" x14ac:dyDescent="0.2">
      <c r="A569" s="39" t="s">
        <v>2456</v>
      </c>
      <c r="B569" s="45" t="s">
        <v>690</v>
      </c>
      <c r="C569" s="40" t="s">
        <v>3334</v>
      </c>
      <c r="D569" s="53">
        <v>49964.25</v>
      </c>
      <c r="E569" s="53">
        <v>303752.95</v>
      </c>
      <c r="F569" s="53">
        <v>2258482.8400000008</v>
      </c>
      <c r="G569" s="578">
        <f t="shared" si="75"/>
        <v>2612200.040000001</v>
      </c>
      <c r="H569" s="41"/>
      <c r="I569" s="41"/>
      <c r="J569" s="41"/>
      <c r="K569" s="41">
        <f t="shared" si="77"/>
        <v>49964.25</v>
      </c>
      <c r="L569" s="41">
        <f t="shared" si="78"/>
        <v>303752.95</v>
      </c>
      <c r="M569" s="41">
        <f t="shared" si="79"/>
        <v>2258482.8400000008</v>
      </c>
      <c r="N569" s="363">
        <f t="shared" si="76"/>
        <v>0</v>
      </c>
      <c r="O569" s="43" t="s">
        <v>3309</v>
      </c>
      <c r="P569" s="43"/>
      <c r="R569" s="41">
        <f t="shared" si="72"/>
        <v>0</v>
      </c>
      <c r="S569" s="41">
        <f t="shared" si="73"/>
        <v>0</v>
      </c>
      <c r="T569" s="41">
        <f t="shared" si="74"/>
        <v>0</v>
      </c>
      <c r="U569" s="41"/>
      <c r="V569" s="44" t="str">
        <f>IF($P569="High",$S569,IF($P569="Mix",SUMIF('High_Low Voltage Mix Summary'!$B$10:$B$17,$B410,'High_Low Voltage Mix Summary'!$D$10:$D$17),""))</f>
        <v/>
      </c>
      <c r="W569" s="44" t="str">
        <f>IF($P569="Low",$S569,IF($P569="Mix",SUMIF('High_Low Voltage Mix Summary'!$B$10:$B$17,$B410,'High_Low Voltage Mix Summary'!$E$10:$E$17),""))</f>
        <v/>
      </c>
      <c r="X569" s="44" t="str">
        <f>IF($P569="High",$T569,IF($P569="Mix",SUMIF('High_Low Voltage Mix Summary'!$B$10:$B$17,$B410,'High_Low Voltage Mix Summary'!$F$10:$F$17),""))</f>
        <v/>
      </c>
      <c r="Y569" s="44" t="str">
        <f>IF($P569="Low",$T569,IF($P569="Mix",SUMIF('High_Low Voltage Mix Summary'!$B$10:$B$17,$B410,'High_Low Voltage Mix Summary'!$G$10:$G$17),""))</f>
        <v/>
      </c>
      <c r="Z569" s="44" t="str">
        <f>IF(OR($P569="High",$P569="Low"),"",IF($P569="Mix",SUMIF('High_Low Voltage Mix Summary'!$B$10:$B$17,$B410,'High_Low Voltage Mix Summary'!$H$10:$H$17),""))</f>
        <v/>
      </c>
      <c r="AB569" s="49">
        <f>SUMIF('Antelope Bailey Split BA'!$B$7:$B$29,B569,'Antelope Bailey Split BA'!$C$7:$C$29)</f>
        <v>0</v>
      </c>
      <c r="AC569" s="49" t="str">
        <f>IF(AND(AB569=1,'Plant Total by Account'!$H$1=2),"EKWRA","")</f>
        <v/>
      </c>
    </row>
    <row r="570" spans="1:29" x14ac:dyDescent="0.2">
      <c r="A570" s="39" t="s">
        <v>3079</v>
      </c>
      <c r="B570" s="45" t="s">
        <v>691</v>
      </c>
      <c r="C570" s="40" t="s">
        <v>3333</v>
      </c>
      <c r="D570" s="53">
        <v>3772.94</v>
      </c>
      <c r="E570" s="53">
        <v>58196.41</v>
      </c>
      <c r="F570" s="53">
        <v>586586.92000000016</v>
      </c>
      <c r="G570" s="578">
        <f t="shared" si="75"/>
        <v>648556.27000000014</v>
      </c>
      <c r="H570" s="41"/>
      <c r="I570" s="41"/>
      <c r="J570" s="41"/>
      <c r="K570" s="41">
        <f t="shared" si="77"/>
        <v>3772.94</v>
      </c>
      <c r="L570" s="41">
        <f t="shared" si="78"/>
        <v>58196.41</v>
      </c>
      <c r="M570" s="41">
        <f t="shared" si="79"/>
        <v>586586.92000000016</v>
      </c>
      <c r="N570" s="363">
        <f t="shared" si="76"/>
        <v>0</v>
      </c>
      <c r="O570" s="43" t="s">
        <v>3309</v>
      </c>
      <c r="P570" s="43"/>
      <c r="R570" s="41">
        <f t="shared" si="72"/>
        <v>0</v>
      </c>
      <c r="S570" s="41">
        <f t="shared" si="73"/>
        <v>0</v>
      </c>
      <c r="T570" s="41">
        <f t="shared" si="74"/>
        <v>0</v>
      </c>
      <c r="U570" s="41"/>
      <c r="V570" s="44" t="str">
        <f>IF($P570="High",$S570,IF($P570="Mix",SUMIF('High_Low Voltage Mix Summary'!$B$10:$B$17,$B411,'High_Low Voltage Mix Summary'!$D$10:$D$17),""))</f>
        <v/>
      </c>
      <c r="W570" s="44" t="str">
        <f>IF($P570="Low",$S570,IF($P570="Mix",SUMIF('High_Low Voltage Mix Summary'!$B$10:$B$17,$B411,'High_Low Voltage Mix Summary'!$E$10:$E$17),""))</f>
        <v/>
      </c>
      <c r="X570" s="44" t="str">
        <f>IF($P570="High",$T570,IF($P570="Mix",SUMIF('High_Low Voltage Mix Summary'!$B$10:$B$17,$B411,'High_Low Voltage Mix Summary'!$F$10:$F$17),""))</f>
        <v/>
      </c>
      <c r="Y570" s="44" t="str">
        <f>IF($P570="Low",$T570,IF($P570="Mix",SUMIF('High_Low Voltage Mix Summary'!$B$10:$B$17,$B411,'High_Low Voltage Mix Summary'!$G$10:$G$17),""))</f>
        <v/>
      </c>
      <c r="Z570" s="44" t="str">
        <f>IF(OR($P570="High",$P570="Low"),"",IF($P570="Mix",SUMIF('High_Low Voltage Mix Summary'!$B$10:$B$17,$B411,'High_Low Voltage Mix Summary'!$H$10:$H$17),""))</f>
        <v/>
      </c>
      <c r="AB570" s="49">
        <f>SUMIF('Antelope Bailey Split BA'!$B$7:$B$29,B570,'Antelope Bailey Split BA'!$C$7:$C$29)</f>
        <v>0</v>
      </c>
      <c r="AC570" s="49" t="str">
        <f>IF(AND(AB570=1,'Plant Total by Account'!$H$1=2),"EKWRA","")</f>
        <v/>
      </c>
    </row>
    <row r="571" spans="1:29" x14ac:dyDescent="0.2">
      <c r="A571" s="39" t="s">
        <v>3080</v>
      </c>
      <c r="B571" s="45" t="s">
        <v>692</v>
      </c>
      <c r="C571" s="40" t="s">
        <v>3334</v>
      </c>
      <c r="D571" s="53">
        <v>32118.030000000002</v>
      </c>
      <c r="E571" s="53">
        <v>103187.39000000001</v>
      </c>
      <c r="F571" s="53">
        <v>2863152.9399999995</v>
      </c>
      <c r="G571" s="578">
        <f t="shared" si="75"/>
        <v>2998458.3599999994</v>
      </c>
      <c r="H571" s="41"/>
      <c r="I571" s="41"/>
      <c r="J571" s="41"/>
      <c r="K571" s="41">
        <f t="shared" si="77"/>
        <v>32118.030000000002</v>
      </c>
      <c r="L571" s="41">
        <f t="shared" si="78"/>
        <v>103187.39000000001</v>
      </c>
      <c r="M571" s="41">
        <f t="shared" si="79"/>
        <v>2863152.9399999995</v>
      </c>
      <c r="N571" s="363">
        <f t="shared" si="76"/>
        <v>0</v>
      </c>
      <c r="O571" s="43" t="s">
        <v>3309</v>
      </c>
      <c r="P571" s="43"/>
      <c r="R571" s="41">
        <f t="shared" si="72"/>
        <v>0</v>
      </c>
      <c r="S571" s="41">
        <f t="shared" si="73"/>
        <v>0</v>
      </c>
      <c r="T571" s="41">
        <f t="shared" si="74"/>
        <v>0</v>
      </c>
      <c r="U571" s="41"/>
      <c r="V571" s="44" t="str">
        <f>IF($P571="High",$S571,IF($P571="Mix",SUMIF('High_Low Voltage Mix Summary'!$B$10:$B$17,#REF!,'High_Low Voltage Mix Summary'!$D$10:$D$17),""))</f>
        <v/>
      </c>
      <c r="W571" s="44" t="str">
        <f>IF($P571="Low",$S571,IF($P571="Mix",SUMIF('High_Low Voltage Mix Summary'!$B$10:$B$17,#REF!,'High_Low Voltage Mix Summary'!$E$10:$E$17),""))</f>
        <v/>
      </c>
      <c r="X571" s="44" t="str">
        <f>IF($P571="High",$T571,IF($P571="Mix",SUMIF('High_Low Voltage Mix Summary'!$B$10:$B$17,#REF!,'High_Low Voltage Mix Summary'!$F$10:$F$17),""))</f>
        <v/>
      </c>
      <c r="Y571" s="44" t="str">
        <f>IF($P571="Low",$T571,IF($P571="Mix",SUMIF('High_Low Voltage Mix Summary'!$B$10:$B$17,#REF!,'High_Low Voltage Mix Summary'!$G$10:$G$17),""))</f>
        <v/>
      </c>
      <c r="Z571" s="44" t="str">
        <f>IF(OR($P571="High",$P571="Low"),"",IF($P571="Mix",SUMIF('High_Low Voltage Mix Summary'!$B$10:$B$17,#REF!,'High_Low Voltage Mix Summary'!$H$10:$H$17),""))</f>
        <v/>
      </c>
      <c r="AB571" s="49">
        <f>SUMIF('Antelope Bailey Split BA'!$B$7:$B$29,B571,'Antelope Bailey Split BA'!$C$7:$C$29)</f>
        <v>0</v>
      </c>
      <c r="AC571" s="49" t="str">
        <f>IF(AND(AB571=1,'Plant Total by Account'!$H$1=2),"EKWRA","")</f>
        <v/>
      </c>
    </row>
    <row r="572" spans="1:29" x14ac:dyDescent="0.2">
      <c r="A572" s="39" t="s">
        <v>2457</v>
      </c>
      <c r="B572" s="45" t="s">
        <v>693</v>
      </c>
      <c r="C572" s="40" t="s">
        <v>3333</v>
      </c>
      <c r="D572" s="53">
        <v>4092.23</v>
      </c>
      <c r="E572" s="53">
        <v>156580.31000000003</v>
      </c>
      <c r="F572" s="53">
        <v>1034781.6900000001</v>
      </c>
      <c r="G572" s="578">
        <f t="shared" si="75"/>
        <v>1195454.23</v>
      </c>
      <c r="H572" s="41"/>
      <c r="I572" s="41"/>
      <c r="J572" s="41"/>
      <c r="K572" s="41">
        <f t="shared" si="77"/>
        <v>4092.23</v>
      </c>
      <c r="L572" s="41">
        <f t="shared" si="78"/>
        <v>156580.31000000003</v>
      </c>
      <c r="M572" s="41">
        <f t="shared" si="79"/>
        <v>1034781.6900000001</v>
      </c>
      <c r="N572" s="363">
        <f t="shared" si="76"/>
        <v>0</v>
      </c>
      <c r="O572" s="43" t="s">
        <v>3309</v>
      </c>
      <c r="P572" s="43"/>
      <c r="R572" s="41">
        <f t="shared" si="72"/>
        <v>0</v>
      </c>
      <c r="S572" s="41">
        <f t="shared" si="73"/>
        <v>0</v>
      </c>
      <c r="T572" s="41">
        <f t="shared" si="74"/>
        <v>0</v>
      </c>
      <c r="U572" s="41"/>
      <c r="V572" s="44" t="str">
        <f>IF($P572="High",$S572,IF($P572="Mix",SUMIF('High_Low Voltage Mix Summary'!$B$10:$B$17,$B412,'High_Low Voltage Mix Summary'!$D$10:$D$17),""))</f>
        <v/>
      </c>
      <c r="W572" s="44" t="str">
        <f>IF($P572="Low",$S572,IF($P572="Mix",SUMIF('High_Low Voltage Mix Summary'!$B$10:$B$17,$B412,'High_Low Voltage Mix Summary'!$E$10:$E$17),""))</f>
        <v/>
      </c>
      <c r="X572" s="44" t="str">
        <f>IF($P572="High",$T572,IF($P572="Mix",SUMIF('High_Low Voltage Mix Summary'!$B$10:$B$17,$B412,'High_Low Voltage Mix Summary'!$F$10:$F$17),""))</f>
        <v/>
      </c>
      <c r="Y572" s="44" t="str">
        <f>IF($P572="Low",$T572,IF($P572="Mix",SUMIF('High_Low Voltage Mix Summary'!$B$10:$B$17,$B412,'High_Low Voltage Mix Summary'!$G$10:$G$17),""))</f>
        <v/>
      </c>
      <c r="Z572" s="44" t="str">
        <f>IF(OR($P572="High",$P572="Low"),"",IF($P572="Mix",SUMIF('High_Low Voltage Mix Summary'!$B$10:$B$17,$B412,'High_Low Voltage Mix Summary'!$H$10:$H$17),""))</f>
        <v/>
      </c>
      <c r="AB572" s="49">
        <f>SUMIF('Antelope Bailey Split BA'!$B$7:$B$29,B572,'Antelope Bailey Split BA'!$C$7:$C$29)</f>
        <v>0</v>
      </c>
      <c r="AC572" s="49" t="str">
        <f>IF(AND(AB572=1,'Plant Total by Account'!$H$1=2),"EKWRA","")</f>
        <v/>
      </c>
    </row>
    <row r="573" spans="1:29" x14ac:dyDescent="0.2">
      <c r="A573" s="39" t="s">
        <v>2458</v>
      </c>
      <c r="B573" s="45" t="s">
        <v>694</v>
      </c>
      <c r="C573" s="40" t="s">
        <v>3334</v>
      </c>
      <c r="D573" s="53">
        <v>150722.83000000002</v>
      </c>
      <c r="E573" s="53">
        <v>89529.890000000014</v>
      </c>
      <c r="F573" s="53">
        <v>1860271.47</v>
      </c>
      <c r="G573" s="578">
        <f t="shared" si="75"/>
        <v>2100524.19</v>
      </c>
      <c r="H573" s="41"/>
      <c r="I573" s="41"/>
      <c r="J573" s="41"/>
      <c r="K573" s="41">
        <f t="shared" si="77"/>
        <v>150722.83000000002</v>
      </c>
      <c r="L573" s="41">
        <f t="shared" si="78"/>
        <v>89529.890000000014</v>
      </c>
      <c r="M573" s="41">
        <f t="shared" si="79"/>
        <v>1860271.47</v>
      </c>
      <c r="N573" s="363">
        <f t="shared" si="76"/>
        <v>0</v>
      </c>
      <c r="O573" s="43" t="s">
        <v>3309</v>
      </c>
      <c r="P573" s="43"/>
      <c r="R573" s="41">
        <f t="shared" si="72"/>
        <v>0</v>
      </c>
      <c r="S573" s="41">
        <f t="shared" si="73"/>
        <v>0</v>
      </c>
      <c r="T573" s="41">
        <f t="shared" si="74"/>
        <v>0</v>
      </c>
      <c r="U573" s="41"/>
      <c r="V573" s="44" t="str">
        <f>IF($P573="High",$S573,IF($P573="Mix",SUMIF('High_Low Voltage Mix Summary'!$B$10:$B$17,#REF!,'High_Low Voltage Mix Summary'!$D$10:$D$17),""))</f>
        <v/>
      </c>
      <c r="W573" s="44" t="str">
        <f>IF($P573="Low",$S573,IF($P573="Mix",SUMIF('High_Low Voltage Mix Summary'!$B$10:$B$17,#REF!,'High_Low Voltage Mix Summary'!$E$10:$E$17),""))</f>
        <v/>
      </c>
      <c r="X573" s="44" t="str">
        <f>IF($P573="High",$T573,IF($P573="Mix",SUMIF('High_Low Voltage Mix Summary'!$B$10:$B$17,#REF!,'High_Low Voltage Mix Summary'!$F$10:$F$17),""))</f>
        <v/>
      </c>
      <c r="Y573" s="44" t="str">
        <f>IF($P573="Low",$T573,IF($P573="Mix",SUMIF('High_Low Voltage Mix Summary'!$B$10:$B$17,#REF!,'High_Low Voltage Mix Summary'!$G$10:$G$17),""))</f>
        <v/>
      </c>
      <c r="Z573" s="44" t="str">
        <f>IF(OR($P573="High",$P573="Low"),"",IF($P573="Mix",SUMIF('High_Low Voltage Mix Summary'!$B$10:$B$17,#REF!,'High_Low Voltage Mix Summary'!$H$10:$H$17),""))</f>
        <v/>
      </c>
      <c r="AB573" s="49">
        <f>SUMIF('Antelope Bailey Split BA'!$B$7:$B$29,B573,'Antelope Bailey Split BA'!$C$7:$C$29)</f>
        <v>0</v>
      </c>
      <c r="AC573" s="49" t="str">
        <f>IF(AND(AB573=1,'Plant Total by Account'!$H$1=2),"EKWRA","")</f>
        <v/>
      </c>
    </row>
    <row r="574" spans="1:29" x14ac:dyDescent="0.2">
      <c r="A574" s="39" t="s">
        <v>3081</v>
      </c>
      <c r="B574" s="45" t="s">
        <v>695</v>
      </c>
      <c r="C574" s="40" t="s">
        <v>3333</v>
      </c>
      <c r="D574" s="53">
        <v>346.83</v>
      </c>
      <c r="E574" s="53">
        <v>56507.05</v>
      </c>
      <c r="F574" s="53">
        <v>565605.19000000018</v>
      </c>
      <c r="G574" s="578">
        <f t="shared" si="75"/>
        <v>622459.07000000018</v>
      </c>
      <c r="H574" s="41"/>
      <c r="I574" s="41"/>
      <c r="J574" s="41"/>
      <c r="K574" s="41">
        <f t="shared" si="77"/>
        <v>346.83</v>
      </c>
      <c r="L574" s="41">
        <f t="shared" si="78"/>
        <v>56507.05</v>
      </c>
      <c r="M574" s="41">
        <f t="shared" si="79"/>
        <v>565605.19000000018</v>
      </c>
      <c r="N574" s="363">
        <f t="shared" si="76"/>
        <v>0</v>
      </c>
      <c r="O574" s="43" t="s">
        <v>3309</v>
      </c>
      <c r="P574" s="43"/>
      <c r="R574" s="41">
        <f t="shared" si="72"/>
        <v>0</v>
      </c>
      <c r="S574" s="41">
        <f t="shared" si="73"/>
        <v>0</v>
      </c>
      <c r="T574" s="41">
        <f t="shared" si="74"/>
        <v>0</v>
      </c>
      <c r="U574" s="41"/>
      <c r="V574" s="44" t="str">
        <f>IF($P574="High",$S574,IF($P574="Mix",SUMIF('High_Low Voltage Mix Summary'!$B$10:$B$17,$B413,'High_Low Voltage Mix Summary'!$D$10:$D$17),""))</f>
        <v/>
      </c>
      <c r="W574" s="44" t="str">
        <f>IF($P574="Low",$S574,IF($P574="Mix",SUMIF('High_Low Voltage Mix Summary'!$B$10:$B$17,$B413,'High_Low Voltage Mix Summary'!$E$10:$E$17),""))</f>
        <v/>
      </c>
      <c r="X574" s="44" t="str">
        <f>IF($P574="High",$T574,IF($P574="Mix",SUMIF('High_Low Voltage Mix Summary'!$B$10:$B$17,$B413,'High_Low Voltage Mix Summary'!$F$10:$F$17),""))</f>
        <v/>
      </c>
      <c r="Y574" s="44" t="str">
        <f>IF($P574="Low",$T574,IF($P574="Mix",SUMIF('High_Low Voltage Mix Summary'!$B$10:$B$17,$B413,'High_Low Voltage Mix Summary'!$G$10:$G$17),""))</f>
        <v/>
      </c>
      <c r="Z574" s="44" t="str">
        <f>IF(OR($P574="High",$P574="Low"),"",IF($P574="Mix",SUMIF('High_Low Voltage Mix Summary'!$B$10:$B$17,$B413,'High_Low Voltage Mix Summary'!$H$10:$H$17),""))</f>
        <v/>
      </c>
      <c r="AB574" s="49">
        <f>SUMIF('Antelope Bailey Split BA'!$B$7:$B$29,B574,'Antelope Bailey Split BA'!$C$7:$C$29)</f>
        <v>0</v>
      </c>
      <c r="AC574" s="49" t="str">
        <f>IF(AND(AB574=1,'Plant Total by Account'!$H$1=2),"EKWRA","")</f>
        <v/>
      </c>
    </row>
    <row r="575" spans="1:29" x14ac:dyDescent="0.2">
      <c r="A575" s="39" t="s">
        <v>3082</v>
      </c>
      <c r="B575" s="45" t="s">
        <v>696</v>
      </c>
      <c r="C575" s="40" t="s">
        <v>3334</v>
      </c>
      <c r="D575" s="53">
        <v>3676.55</v>
      </c>
      <c r="E575" s="53">
        <v>101496.45</v>
      </c>
      <c r="F575" s="53">
        <v>2226046.1199999996</v>
      </c>
      <c r="G575" s="578">
        <f t="shared" si="75"/>
        <v>2331219.1199999996</v>
      </c>
      <c r="H575" s="41"/>
      <c r="I575" s="41"/>
      <c r="J575" s="41"/>
      <c r="K575" s="41">
        <f t="shared" si="77"/>
        <v>3676.55</v>
      </c>
      <c r="L575" s="41">
        <f t="shared" si="78"/>
        <v>101496.45</v>
      </c>
      <c r="M575" s="41">
        <f t="shared" si="79"/>
        <v>2226046.1199999996</v>
      </c>
      <c r="N575" s="363">
        <f t="shared" si="76"/>
        <v>0</v>
      </c>
      <c r="O575" s="43" t="s">
        <v>3309</v>
      </c>
      <c r="P575" s="43"/>
      <c r="R575" s="41">
        <f t="shared" si="72"/>
        <v>0</v>
      </c>
      <c r="S575" s="41">
        <f t="shared" si="73"/>
        <v>0</v>
      </c>
      <c r="T575" s="41">
        <f t="shared" si="74"/>
        <v>0</v>
      </c>
      <c r="U575" s="41"/>
      <c r="V575" s="44" t="str">
        <f>IF($P575="High",$S575,IF($P575="Mix",SUMIF('High_Low Voltage Mix Summary'!$B$10:$B$17,#REF!,'High_Low Voltage Mix Summary'!$D$10:$D$17),""))</f>
        <v/>
      </c>
      <c r="W575" s="44" t="str">
        <f>IF($P575="Low",$S575,IF($P575="Mix",SUMIF('High_Low Voltage Mix Summary'!$B$10:$B$17,#REF!,'High_Low Voltage Mix Summary'!$E$10:$E$17),""))</f>
        <v/>
      </c>
      <c r="X575" s="44" t="str">
        <f>IF($P575="High",$T575,IF($P575="Mix",SUMIF('High_Low Voltage Mix Summary'!$B$10:$B$17,#REF!,'High_Low Voltage Mix Summary'!$F$10:$F$17),""))</f>
        <v/>
      </c>
      <c r="Y575" s="44" t="str">
        <f>IF($P575="Low",$T575,IF($P575="Mix",SUMIF('High_Low Voltage Mix Summary'!$B$10:$B$17,#REF!,'High_Low Voltage Mix Summary'!$G$10:$G$17),""))</f>
        <v/>
      </c>
      <c r="Z575" s="44" t="str">
        <f>IF(OR($P575="High",$P575="Low"),"",IF($P575="Mix",SUMIF('High_Low Voltage Mix Summary'!$B$10:$B$17,#REF!,'High_Low Voltage Mix Summary'!$H$10:$H$17),""))</f>
        <v/>
      </c>
      <c r="AB575" s="49">
        <f>SUMIF('Antelope Bailey Split BA'!$B$7:$B$29,B575,'Antelope Bailey Split BA'!$C$7:$C$29)</f>
        <v>0</v>
      </c>
      <c r="AC575" s="49" t="str">
        <f>IF(AND(AB575=1,'Plant Total by Account'!$H$1=2),"EKWRA","")</f>
        <v/>
      </c>
    </row>
    <row r="576" spans="1:29" x14ac:dyDescent="0.2">
      <c r="A576" s="39" t="s">
        <v>3083</v>
      </c>
      <c r="B576" s="45" t="s">
        <v>697</v>
      </c>
      <c r="C576" s="40" t="s">
        <v>3334</v>
      </c>
      <c r="D576" s="53">
        <v>23723.8</v>
      </c>
      <c r="E576" s="53">
        <v>345755.41000000009</v>
      </c>
      <c r="F576" s="53">
        <v>4243320.59</v>
      </c>
      <c r="G576" s="578">
        <f t="shared" si="75"/>
        <v>4612799.8</v>
      </c>
      <c r="H576" s="41"/>
      <c r="I576" s="41"/>
      <c r="J576" s="41"/>
      <c r="K576" s="41">
        <f t="shared" si="77"/>
        <v>23723.8</v>
      </c>
      <c r="L576" s="41">
        <f t="shared" si="78"/>
        <v>345755.41000000009</v>
      </c>
      <c r="M576" s="41">
        <f t="shared" si="79"/>
        <v>4243320.59</v>
      </c>
      <c r="N576" s="363">
        <f t="shared" si="76"/>
        <v>0</v>
      </c>
      <c r="O576" s="43" t="s">
        <v>3309</v>
      </c>
      <c r="P576" s="43"/>
      <c r="R576" s="41">
        <f t="shared" si="72"/>
        <v>0</v>
      </c>
      <c r="S576" s="41">
        <f t="shared" si="73"/>
        <v>0</v>
      </c>
      <c r="T576" s="41">
        <f t="shared" si="74"/>
        <v>0</v>
      </c>
      <c r="U576" s="41"/>
      <c r="V576" s="44" t="str">
        <f>IF($P576="High",$S576,IF($P576="Mix",SUMIF('High_Low Voltage Mix Summary'!$B$10:$B$17,$B414,'High_Low Voltage Mix Summary'!$D$10:$D$17),""))</f>
        <v/>
      </c>
      <c r="W576" s="44" t="str">
        <f>IF($P576="Low",$S576,IF($P576="Mix",SUMIF('High_Low Voltage Mix Summary'!$B$10:$B$17,$B414,'High_Low Voltage Mix Summary'!$E$10:$E$17),""))</f>
        <v/>
      </c>
      <c r="X576" s="44" t="str">
        <f>IF($P576="High",$T576,IF($P576="Mix",SUMIF('High_Low Voltage Mix Summary'!$B$10:$B$17,$B414,'High_Low Voltage Mix Summary'!$F$10:$F$17),""))</f>
        <v/>
      </c>
      <c r="Y576" s="44" t="str">
        <f>IF($P576="Low",$T576,IF($P576="Mix",SUMIF('High_Low Voltage Mix Summary'!$B$10:$B$17,$B414,'High_Low Voltage Mix Summary'!$G$10:$G$17),""))</f>
        <v/>
      </c>
      <c r="Z576" s="44" t="str">
        <f>IF(OR($P576="High",$P576="Low"),"",IF($P576="Mix",SUMIF('High_Low Voltage Mix Summary'!$B$10:$B$17,$B414,'High_Low Voltage Mix Summary'!$H$10:$H$17),""))</f>
        <v/>
      </c>
      <c r="AB576" s="49">
        <f>SUMIF('Antelope Bailey Split BA'!$B$7:$B$29,B576,'Antelope Bailey Split BA'!$C$7:$C$29)</f>
        <v>0</v>
      </c>
      <c r="AC576" s="49" t="str">
        <f>IF(AND(AB576=1,'Plant Total by Account'!$H$1=2),"EKWRA","")</f>
        <v/>
      </c>
    </row>
    <row r="577" spans="1:29" x14ac:dyDescent="0.2">
      <c r="A577" s="39" t="s">
        <v>3084</v>
      </c>
      <c r="B577" s="45" t="s">
        <v>698</v>
      </c>
      <c r="C577" s="40" t="s">
        <v>3334</v>
      </c>
      <c r="D577" s="53">
        <v>3119</v>
      </c>
      <c r="E577" s="53">
        <v>7090.3099999999995</v>
      </c>
      <c r="F577" s="53">
        <v>119423.06999999999</v>
      </c>
      <c r="G577" s="578">
        <f t="shared" si="75"/>
        <v>129632.37999999999</v>
      </c>
      <c r="H577" s="41"/>
      <c r="I577" s="41"/>
      <c r="J577" s="41"/>
      <c r="K577" s="41">
        <f t="shared" si="77"/>
        <v>3119</v>
      </c>
      <c r="L577" s="41">
        <f t="shared" si="78"/>
        <v>7090.3099999999995</v>
      </c>
      <c r="M577" s="41">
        <f t="shared" si="79"/>
        <v>119423.06999999999</v>
      </c>
      <c r="N577" s="363">
        <f t="shared" si="76"/>
        <v>0</v>
      </c>
      <c r="O577" s="43" t="s">
        <v>3309</v>
      </c>
      <c r="P577" s="43"/>
      <c r="R577" s="41">
        <f t="shared" si="72"/>
        <v>0</v>
      </c>
      <c r="S577" s="41">
        <f t="shared" si="73"/>
        <v>0</v>
      </c>
      <c r="T577" s="41">
        <f t="shared" si="74"/>
        <v>0</v>
      </c>
      <c r="U577" s="41"/>
      <c r="V577" s="44" t="str">
        <f>IF($P577="High",$S577,IF($P577="Mix",SUMIF('High_Low Voltage Mix Summary'!$B$10:$B$17,$B415,'High_Low Voltage Mix Summary'!$D$10:$D$17),""))</f>
        <v/>
      </c>
      <c r="W577" s="44" t="str">
        <f>IF($P577="Low",$S577,IF($P577="Mix",SUMIF('High_Low Voltage Mix Summary'!$B$10:$B$17,$B415,'High_Low Voltage Mix Summary'!$E$10:$E$17),""))</f>
        <v/>
      </c>
      <c r="X577" s="44" t="str">
        <f>IF($P577="High",$T577,IF($P577="Mix",SUMIF('High_Low Voltage Mix Summary'!$B$10:$B$17,$B415,'High_Low Voltage Mix Summary'!$F$10:$F$17),""))</f>
        <v/>
      </c>
      <c r="Y577" s="44" t="str">
        <f>IF($P577="Low",$T577,IF($P577="Mix",SUMIF('High_Low Voltage Mix Summary'!$B$10:$B$17,$B415,'High_Low Voltage Mix Summary'!$G$10:$G$17),""))</f>
        <v/>
      </c>
      <c r="Z577" s="44" t="str">
        <f>IF(OR($P577="High",$P577="Low"),"",IF($P577="Mix",SUMIF('High_Low Voltage Mix Summary'!$B$10:$B$17,$B415,'High_Low Voltage Mix Summary'!$H$10:$H$17),""))</f>
        <v/>
      </c>
      <c r="AB577" s="49">
        <f>SUMIF('Antelope Bailey Split BA'!$B$7:$B$29,B577,'Antelope Bailey Split BA'!$C$7:$C$29)</f>
        <v>0</v>
      </c>
      <c r="AC577" s="49" t="str">
        <f>IF(AND(AB577=1,'Plant Total by Account'!$H$1=2),"EKWRA","")</f>
        <v/>
      </c>
    </row>
    <row r="578" spans="1:29" x14ac:dyDescent="0.2">
      <c r="A578" s="39" t="s">
        <v>3085</v>
      </c>
      <c r="B578" s="45" t="s">
        <v>699</v>
      </c>
      <c r="C578" s="40" t="s">
        <v>3334</v>
      </c>
      <c r="D578" s="53">
        <v>2403.81</v>
      </c>
      <c r="E578" s="53">
        <v>0</v>
      </c>
      <c r="F578" s="53">
        <v>0</v>
      </c>
      <c r="G578" s="578">
        <f t="shared" si="75"/>
        <v>2403.81</v>
      </c>
      <c r="H578" s="41"/>
      <c r="I578" s="41"/>
      <c r="J578" s="41"/>
      <c r="K578" s="41">
        <f t="shared" si="77"/>
        <v>2403.81</v>
      </c>
      <c r="L578" s="41">
        <f t="shared" si="78"/>
        <v>0</v>
      </c>
      <c r="M578" s="41">
        <f t="shared" si="79"/>
        <v>0</v>
      </c>
      <c r="N578" s="363">
        <f t="shared" si="76"/>
        <v>0</v>
      </c>
      <c r="O578" s="43" t="s">
        <v>3309</v>
      </c>
      <c r="P578" s="43"/>
      <c r="R578" s="41">
        <f t="shared" si="72"/>
        <v>0</v>
      </c>
      <c r="S578" s="41">
        <f t="shared" si="73"/>
        <v>0</v>
      </c>
      <c r="T578" s="41">
        <f t="shared" si="74"/>
        <v>0</v>
      </c>
      <c r="U578" s="41"/>
      <c r="V578" s="44" t="str">
        <f>IF($P578="High",$S578,IF($P578="Mix",SUMIF('High_Low Voltage Mix Summary'!$B$10:$B$17,$B416,'High_Low Voltage Mix Summary'!$D$10:$D$17),""))</f>
        <v/>
      </c>
      <c r="W578" s="44" t="str">
        <f>IF($P578="Low",$S578,IF($P578="Mix",SUMIF('High_Low Voltage Mix Summary'!$B$10:$B$17,$B416,'High_Low Voltage Mix Summary'!$E$10:$E$17),""))</f>
        <v/>
      </c>
      <c r="X578" s="44" t="str">
        <f>IF($P578="High",$T578,IF($P578="Mix",SUMIF('High_Low Voltage Mix Summary'!$B$10:$B$17,$B416,'High_Low Voltage Mix Summary'!$F$10:$F$17),""))</f>
        <v/>
      </c>
      <c r="Y578" s="44" t="str">
        <f>IF($P578="Low",$T578,IF($P578="Mix",SUMIF('High_Low Voltage Mix Summary'!$B$10:$B$17,$B416,'High_Low Voltage Mix Summary'!$G$10:$G$17),""))</f>
        <v/>
      </c>
      <c r="Z578" s="44" t="str">
        <f>IF(OR($P578="High",$P578="Low"),"",IF($P578="Mix",SUMIF('High_Low Voltage Mix Summary'!$B$10:$B$17,$B416,'High_Low Voltage Mix Summary'!$H$10:$H$17),""))</f>
        <v/>
      </c>
      <c r="AB578" s="49">
        <f>SUMIF('Antelope Bailey Split BA'!$B$7:$B$29,B578,'Antelope Bailey Split BA'!$C$7:$C$29)</f>
        <v>0</v>
      </c>
      <c r="AC578" s="49" t="str">
        <f>IF(AND(AB578=1,'Plant Total by Account'!$H$1=2),"EKWRA","")</f>
        <v/>
      </c>
    </row>
    <row r="579" spans="1:29" x14ac:dyDescent="0.2">
      <c r="A579" s="39" t="s">
        <v>3086</v>
      </c>
      <c r="B579" s="45" t="s">
        <v>700</v>
      </c>
      <c r="C579" s="40" t="s">
        <v>3334</v>
      </c>
      <c r="D579" s="53">
        <v>0</v>
      </c>
      <c r="E579" s="53">
        <v>12972.78</v>
      </c>
      <c r="F579" s="53">
        <v>161311.12</v>
      </c>
      <c r="G579" s="578">
        <f t="shared" si="75"/>
        <v>174283.9</v>
      </c>
      <c r="H579" s="41"/>
      <c r="I579" s="41"/>
      <c r="J579" s="41"/>
      <c r="K579" s="41">
        <f t="shared" si="77"/>
        <v>0</v>
      </c>
      <c r="L579" s="41">
        <f t="shared" si="78"/>
        <v>12972.78</v>
      </c>
      <c r="M579" s="41">
        <f t="shared" si="79"/>
        <v>161311.12</v>
      </c>
      <c r="N579" s="363">
        <f t="shared" si="76"/>
        <v>0</v>
      </c>
      <c r="O579" s="43" t="s">
        <v>3309</v>
      </c>
      <c r="P579" s="43"/>
      <c r="R579" s="41">
        <f t="shared" si="72"/>
        <v>0</v>
      </c>
      <c r="S579" s="41">
        <f t="shared" si="73"/>
        <v>0</v>
      </c>
      <c r="T579" s="41">
        <f t="shared" si="74"/>
        <v>0</v>
      </c>
      <c r="U579" s="41"/>
      <c r="V579" s="44" t="str">
        <f>IF($P579="High",$S579,IF($P579="Mix",SUMIF('High_Low Voltage Mix Summary'!$B$10:$B$17,$B417,'High_Low Voltage Mix Summary'!$D$10:$D$17),""))</f>
        <v/>
      </c>
      <c r="W579" s="44" t="str">
        <f>IF($P579="Low",$S579,IF($P579="Mix",SUMIF('High_Low Voltage Mix Summary'!$B$10:$B$17,$B417,'High_Low Voltage Mix Summary'!$E$10:$E$17),""))</f>
        <v/>
      </c>
      <c r="X579" s="44" t="str">
        <f>IF($P579="High",$T579,IF($P579="Mix",SUMIF('High_Low Voltage Mix Summary'!$B$10:$B$17,$B417,'High_Low Voltage Mix Summary'!$F$10:$F$17),""))</f>
        <v/>
      </c>
      <c r="Y579" s="44" t="str">
        <f>IF($P579="Low",$T579,IF($P579="Mix",SUMIF('High_Low Voltage Mix Summary'!$B$10:$B$17,$B417,'High_Low Voltage Mix Summary'!$G$10:$G$17),""))</f>
        <v/>
      </c>
      <c r="Z579" s="44" t="str">
        <f>IF(OR($P579="High",$P579="Low"),"",IF($P579="Mix",SUMIF('High_Low Voltage Mix Summary'!$B$10:$B$17,$B417,'High_Low Voltage Mix Summary'!$H$10:$H$17),""))</f>
        <v/>
      </c>
      <c r="AB579" s="49">
        <f>SUMIF('Antelope Bailey Split BA'!$B$7:$B$29,B579,'Antelope Bailey Split BA'!$C$7:$C$29)</f>
        <v>0</v>
      </c>
      <c r="AC579" s="49" t="str">
        <f>IF(AND(AB579=1,'Plant Total by Account'!$H$1=2),"EKWRA","")</f>
        <v/>
      </c>
    </row>
    <row r="580" spans="1:29" x14ac:dyDescent="0.2">
      <c r="A580" s="39" t="s">
        <v>3087</v>
      </c>
      <c r="B580" s="45" t="s">
        <v>701</v>
      </c>
      <c r="C580" s="40" t="s">
        <v>3334</v>
      </c>
      <c r="D580" s="53">
        <v>0</v>
      </c>
      <c r="E580" s="53">
        <v>10721.89</v>
      </c>
      <c r="F580" s="53">
        <v>1485073.0099999998</v>
      </c>
      <c r="G580" s="578">
        <f t="shared" si="75"/>
        <v>1495794.8999999997</v>
      </c>
      <c r="H580" s="41"/>
      <c r="I580" s="41"/>
      <c r="J580" s="41"/>
      <c r="K580" s="41">
        <f t="shared" si="77"/>
        <v>0</v>
      </c>
      <c r="L580" s="41">
        <f t="shared" si="78"/>
        <v>10721.89</v>
      </c>
      <c r="M580" s="41">
        <f t="shared" si="79"/>
        <v>1485073.0099999998</v>
      </c>
      <c r="N580" s="363">
        <f t="shared" si="76"/>
        <v>0</v>
      </c>
      <c r="O580" s="43" t="s">
        <v>3309</v>
      </c>
      <c r="P580" s="43"/>
      <c r="R580" s="41">
        <f t="shared" si="72"/>
        <v>0</v>
      </c>
      <c r="S580" s="41">
        <f t="shared" si="73"/>
        <v>0</v>
      </c>
      <c r="T580" s="41">
        <f t="shared" si="74"/>
        <v>0</v>
      </c>
      <c r="U580" s="41"/>
      <c r="V580" s="44" t="str">
        <f>IF($P580="High",$S580,IF($P580="Mix",SUMIF('High_Low Voltage Mix Summary'!$B$10:$B$17,$B418,'High_Low Voltage Mix Summary'!$D$10:$D$17),""))</f>
        <v/>
      </c>
      <c r="W580" s="44" t="str">
        <f>IF($P580="Low",$S580,IF($P580="Mix",SUMIF('High_Low Voltage Mix Summary'!$B$10:$B$17,$B418,'High_Low Voltage Mix Summary'!$E$10:$E$17),""))</f>
        <v/>
      </c>
      <c r="X580" s="44" t="str">
        <f>IF($P580="High",$T580,IF($P580="Mix",SUMIF('High_Low Voltage Mix Summary'!$B$10:$B$17,$B418,'High_Low Voltage Mix Summary'!$F$10:$F$17),""))</f>
        <v/>
      </c>
      <c r="Y580" s="44" t="str">
        <f>IF($P580="Low",$T580,IF($P580="Mix",SUMIF('High_Low Voltage Mix Summary'!$B$10:$B$17,$B418,'High_Low Voltage Mix Summary'!$G$10:$G$17),""))</f>
        <v/>
      </c>
      <c r="Z580" s="44" t="str">
        <f>IF(OR($P580="High",$P580="Low"),"",IF($P580="Mix",SUMIF('High_Low Voltage Mix Summary'!$B$10:$B$17,$B418,'High_Low Voltage Mix Summary'!$H$10:$H$17),""))</f>
        <v/>
      </c>
      <c r="AB580" s="49">
        <f>SUMIF('Antelope Bailey Split BA'!$B$7:$B$29,B580,'Antelope Bailey Split BA'!$C$7:$C$29)</f>
        <v>0</v>
      </c>
      <c r="AC580" s="49" t="str">
        <f>IF(AND(AB580=1,'Plant Total by Account'!$H$1=2),"EKWRA","")</f>
        <v/>
      </c>
    </row>
    <row r="581" spans="1:29" x14ac:dyDescent="0.2">
      <c r="A581" s="39" t="s">
        <v>3088</v>
      </c>
      <c r="B581" s="45" t="s">
        <v>702</v>
      </c>
      <c r="C581" s="40" t="s">
        <v>3334</v>
      </c>
      <c r="D581" s="53">
        <v>458083.12</v>
      </c>
      <c r="E581" s="53">
        <v>664567.91</v>
      </c>
      <c r="F581" s="53">
        <v>4142114.4399999995</v>
      </c>
      <c r="G581" s="578">
        <f t="shared" si="75"/>
        <v>5264765.47</v>
      </c>
      <c r="H581" s="41"/>
      <c r="I581" s="41"/>
      <c r="J581" s="41"/>
      <c r="K581" s="41">
        <f t="shared" si="77"/>
        <v>458083.12</v>
      </c>
      <c r="L581" s="41">
        <f t="shared" si="78"/>
        <v>664567.91</v>
      </c>
      <c r="M581" s="41">
        <f t="shared" si="79"/>
        <v>4142114.4399999995</v>
      </c>
      <c r="N581" s="363">
        <f t="shared" si="76"/>
        <v>0</v>
      </c>
      <c r="O581" s="43" t="s">
        <v>3309</v>
      </c>
      <c r="P581" s="43"/>
      <c r="R581" s="41">
        <f t="shared" si="72"/>
        <v>0</v>
      </c>
      <c r="S581" s="41">
        <f t="shared" si="73"/>
        <v>0</v>
      </c>
      <c r="T581" s="41">
        <f t="shared" si="74"/>
        <v>0</v>
      </c>
      <c r="U581" s="41"/>
      <c r="V581" s="44" t="str">
        <f>IF($P581="High",$S581,IF($P581="Mix",SUMIF('High_Low Voltage Mix Summary'!$B$10:$B$17,$B419,'High_Low Voltage Mix Summary'!$D$10:$D$17),""))</f>
        <v/>
      </c>
      <c r="W581" s="44" t="str">
        <f>IF($P581="Low",$S581,IF($P581="Mix",SUMIF('High_Low Voltage Mix Summary'!$B$10:$B$17,$B419,'High_Low Voltage Mix Summary'!$E$10:$E$17),""))</f>
        <v/>
      </c>
      <c r="X581" s="44" t="str">
        <f>IF($P581="High",$T581,IF($P581="Mix",SUMIF('High_Low Voltage Mix Summary'!$B$10:$B$17,$B419,'High_Low Voltage Mix Summary'!$F$10:$F$17),""))</f>
        <v/>
      </c>
      <c r="Y581" s="44" t="str">
        <f>IF($P581="Low",$T581,IF($P581="Mix",SUMIF('High_Low Voltage Mix Summary'!$B$10:$B$17,$B419,'High_Low Voltage Mix Summary'!$G$10:$G$17),""))</f>
        <v/>
      </c>
      <c r="Z581" s="44" t="str">
        <f>IF(OR($P581="High",$P581="Low"),"",IF($P581="Mix",SUMIF('High_Low Voltage Mix Summary'!$B$10:$B$17,$B419,'High_Low Voltage Mix Summary'!$H$10:$H$17),""))</f>
        <v/>
      </c>
      <c r="AB581" s="49">
        <f>SUMIF('Antelope Bailey Split BA'!$B$7:$B$29,B581,'Antelope Bailey Split BA'!$C$7:$C$29)</f>
        <v>0</v>
      </c>
      <c r="AC581" s="49" t="str">
        <f>IF(AND(AB581=1,'Plant Total by Account'!$H$1=2),"EKWRA","")</f>
        <v/>
      </c>
    </row>
    <row r="582" spans="1:29" x14ac:dyDescent="0.2">
      <c r="A582" s="39" t="s">
        <v>2459</v>
      </c>
      <c r="B582" s="45" t="s">
        <v>703</v>
      </c>
      <c r="C582" s="40" t="s">
        <v>3334</v>
      </c>
      <c r="D582" s="53">
        <v>1888137.5599999998</v>
      </c>
      <c r="E582" s="53">
        <v>1017612.7699999999</v>
      </c>
      <c r="F582" s="53">
        <v>3312142.6099999985</v>
      </c>
      <c r="G582" s="578">
        <f t="shared" si="75"/>
        <v>6217892.9399999976</v>
      </c>
      <c r="H582" s="41"/>
      <c r="I582" s="41"/>
      <c r="J582" s="41"/>
      <c r="K582" s="41">
        <f t="shared" si="77"/>
        <v>1888137.5599999998</v>
      </c>
      <c r="L582" s="41">
        <f t="shared" si="78"/>
        <v>1017612.7699999999</v>
      </c>
      <c r="M582" s="41">
        <f t="shared" si="79"/>
        <v>3312142.6099999985</v>
      </c>
      <c r="N582" s="363">
        <f t="shared" si="76"/>
        <v>0</v>
      </c>
      <c r="O582" s="43" t="s">
        <v>3309</v>
      </c>
      <c r="P582" s="43"/>
      <c r="R582" s="41">
        <f t="shared" ref="R582:R645" si="80">SUM(H582:J582)</f>
        <v>0</v>
      </c>
      <c r="S582" s="41">
        <f t="shared" ref="S582:S645" si="81">H582</f>
        <v>0</v>
      </c>
      <c r="T582" s="41">
        <f t="shared" ref="T582:T645" si="82">SUM(I582:J582)</f>
        <v>0</v>
      </c>
      <c r="U582" s="41"/>
      <c r="V582" s="44" t="str">
        <f>IF($P582="High",$S582,IF($P582="Mix",SUMIF('High_Low Voltage Mix Summary'!$B$10:$B$17,$B420,'High_Low Voltage Mix Summary'!$D$10:$D$17),""))</f>
        <v/>
      </c>
      <c r="W582" s="44" t="str">
        <f>IF($P582="Low",$S582,IF($P582="Mix",SUMIF('High_Low Voltage Mix Summary'!$B$10:$B$17,$B420,'High_Low Voltage Mix Summary'!$E$10:$E$17),""))</f>
        <v/>
      </c>
      <c r="X582" s="44" t="str">
        <f>IF($P582="High",$T582,IF($P582="Mix",SUMIF('High_Low Voltage Mix Summary'!$B$10:$B$17,$B420,'High_Low Voltage Mix Summary'!$F$10:$F$17),""))</f>
        <v/>
      </c>
      <c r="Y582" s="44" t="str">
        <f>IF($P582="Low",$T582,IF($P582="Mix",SUMIF('High_Low Voltage Mix Summary'!$B$10:$B$17,$B420,'High_Low Voltage Mix Summary'!$G$10:$G$17),""))</f>
        <v/>
      </c>
      <c r="Z582" s="44" t="str">
        <f>IF(OR($P582="High",$P582="Low"),"",IF($P582="Mix",SUMIF('High_Low Voltage Mix Summary'!$B$10:$B$17,$B420,'High_Low Voltage Mix Summary'!$H$10:$H$17),""))</f>
        <v/>
      </c>
      <c r="AB582" s="49">
        <f>SUMIF('Antelope Bailey Split BA'!$B$7:$B$29,B582,'Antelope Bailey Split BA'!$C$7:$C$29)</f>
        <v>0</v>
      </c>
      <c r="AC582" s="49" t="str">
        <f>IF(AND(AB582=1,'Plant Total by Account'!$H$1=2),"EKWRA","")</f>
        <v/>
      </c>
    </row>
    <row r="583" spans="1:29" x14ac:dyDescent="0.2">
      <c r="A583" s="39" t="s">
        <v>3089</v>
      </c>
      <c r="B583" s="45" t="s">
        <v>704</v>
      </c>
      <c r="C583" s="40" t="s">
        <v>3334</v>
      </c>
      <c r="D583" s="53">
        <v>0</v>
      </c>
      <c r="E583" s="53">
        <v>18899.080000000002</v>
      </c>
      <c r="F583" s="53">
        <v>466645.91000000003</v>
      </c>
      <c r="G583" s="578">
        <f t="shared" si="75"/>
        <v>485544.99000000005</v>
      </c>
      <c r="H583" s="41"/>
      <c r="I583" s="41"/>
      <c r="J583" s="41"/>
      <c r="K583" s="41">
        <f t="shared" si="77"/>
        <v>0</v>
      </c>
      <c r="L583" s="41">
        <f t="shared" si="78"/>
        <v>18899.080000000002</v>
      </c>
      <c r="M583" s="41">
        <f t="shared" si="79"/>
        <v>466645.91000000003</v>
      </c>
      <c r="N583" s="363">
        <f t="shared" si="76"/>
        <v>0</v>
      </c>
      <c r="O583" s="43" t="s">
        <v>3309</v>
      </c>
      <c r="P583" s="43"/>
      <c r="R583" s="41">
        <f t="shared" si="80"/>
        <v>0</v>
      </c>
      <c r="S583" s="41">
        <f t="shared" si="81"/>
        <v>0</v>
      </c>
      <c r="T583" s="41">
        <f t="shared" si="82"/>
        <v>0</v>
      </c>
      <c r="U583" s="41"/>
      <c r="V583" s="44" t="str">
        <f>IF($P583="High",$S583,IF($P583="Mix",SUMIF('High_Low Voltage Mix Summary'!$B$10:$B$17,$B421,'High_Low Voltage Mix Summary'!$D$10:$D$17),""))</f>
        <v/>
      </c>
      <c r="W583" s="44" t="str">
        <f>IF($P583="Low",$S583,IF($P583="Mix",SUMIF('High_Low Voltage Mix Summary'!$B$10:$B$17,$B421,'High_Low Voltage Mix Summary'!$E$10:$E$17),""))</f>
        <v/>
      </c>
      <c r="X583" s="44" t="str">
        <f>IF($P583="High",$T583,IF($P583="Mix",SUMIF('High_Low Voltage Mix Summary'!$B$10:$B$17,$B421,'High_Low Voltage Mix Summary'!$F$10:$F$17),""))</f>
        <v/>
      </c>
      <c r="Y583" s="44" t="str">
        <f>IF($P583="Low",$T583,IF($P583="Mix",SUMIF('High_Low Voltage Mix Summary'!$B$10:$B$17,$B421,'High_Low Voltage Mix Summary'!$G$10:$G$17),""))</f>
        <v/>
      </c>
      <c r="Z583" s="44" t="str">
        <f>IF(OR($P583="High",$P583="Low"),"",IF($P583="Mix",SUMIF('High_Low Voltage Mix Summary'!$B$10:$B$17,$B421,'High_Low Voltage Mix Summary'!$H$10:$H$17),""))</f>
        <v/>
      </c>
      <c r="AB583" s="49">
        <f>SUMIF('Antelope Bailey Split BA'!$B$7:$B$29,B583,'Antelope Bailey Split BA'!$C$7:$C$29)</f>
        <v>0</v>
      </c>
      <c r="AC583" s="49" t="str">
        <f>IF(AND(AB583=1,'Plant Total by Account'!$H$1=2),"EKWRA","")</f>
        <v/>
      </c>
    </row>
    <row r="584" spans="1:29" x14ac:dyDescent="0.2">
      <c r="A584" s="39" t="s">
        <v>3090</v>
      </c>
      <c r="B584" s="45" t="s">
        <v>705</v>
      </c>
      <c r="C584" s="40" t="s">
        <v>2611</v>
      </c>
      <c r="D584" s="53">
        <v>0</v>
      </c>
      <c r="E584" s="53">
        <v>0</v>
      </c>
      <c r="F584" s="53">
        <v>69255.509999999995</v>
      </c>
      <c r="G584" s="578">
        <f t="shared" si="75"/>
        <v>69255.509999999995</v>
      </c>
      <c r="H584" s="41"/>
      <c r="I584" s="41"/>
      <c r="J584" s="41"/>
      <c r="K584" s="41">
        <f t="shared" si="77"/>
        <v>0</v>
      </c>
      <c r="L584" s="41">
        <f t="shared" si="78"/>
        <v>0</v>
      </c>
      <c r="M584" s="41">
        <f t="shared" si="79"/>
        <v>69255.509999999995</v>
      </c>
      <c r="N584" s="363">
        <f t="shared" si="76"/>
        <v>0</v>
      </c>
      <c r="O584" s="43" t="s">
        <v>3309</v>
      </c>
      <c r="P584" s="43"/>
      <c r="R584" s="41">
        <f t="shared" si="80"/>
        <v>0</v>
      </c>
      <c r="S584" s="41">
        <f t="shared" si="81"/>
        <v>0</v>
      </c>
      <c r="T584" s="41">
        <f t="shared" si="82"/>
        <v>0</v>
      </c>
      <c r="U584" s="41"/>
      <c r="V584" s="44" t="str">
        <f>IF($P584="High",$S584,IF($P584="Mix",SUMIF('High_Low Voltage Mix Summary'!$B$10:$B$17,$B422,'High_Low Voltage Mix Summary'!$D$10:$D$17),""))</f>
        <v/>
      </c>
      <c r="W584" s="44" t="str">
        <f>IF($P584="Low",$S584,IF($P584="Mix",SUMIF('High_Low Voltage Mix Summary'!$B$10:$B$17,$B422,'High_Low Voltage Mix Summary'!$E$10:$E$17),""))</f>
        <v/>
      </c>
      <c r="X584" s="44" t="str">
        <f>IF($P584="High",$T584,IF($P584="Mix",SUMIF('High_Low Voltage Mix Summary'!$B$10:$B$17,$B422,'High_Low Voltage Mix Summary'!$F$10:$F$17),""))</f>
        <v/>
      </c>
      <c r="Y584" s="44" t="str">
        <f>IF($P584="Low",$T584,IF($P584="Mix",SUMIF('High_Low Voltage Mix Summary'!$B$10:$B$17,$B422,'High_Low Voltage Mix Summary'!$G$10:$G$17),""))</f>
        <v/>
      </c>
      <c r="Z584" s="44" t="str">
        <f>IF(OR($P584="High",$P584="Low"),"",IF($P584="Mix",SUMIF('High_Low Voltage Mix Summary'!$B$10:$B$17,$B422,'High_Low Voltage Mix Summary'!$H$10:$H$17),""))</f>
        <v/>
      </c>
      <c r="AB584" s="49">
        <f>SUMIF('Antelope Bailey Split BA'!$B$7:$B$29,B584,'Antelope Bailey Split BA'!$C$7:$C$29)</f>
        <v>0</v>
      </c>
      <c r="AC584" s="49" t="str">
        <f>IF(AND(AB584=1,'Plant Total by Account'!$H$1=2),"EKWRA","")</f>
        <v/>
      </c>
    </row>
    <row r="585" spans="1:29" x14ac:dyDescent="0.2">
      <c r="A585" s="39" t="s">
        <v>3091</v>
      </c>
      <c r="B585" s="45" t="s">
        <v>706</v>
      </c>
      <c r="C585" s="40" t="s">
        <v>3334</v>
      </c>
      <c r="D585" s="53">
        <v>50895.86</v>
      </c>
      <c r="E585" s="53">
        <v>75809.62</v>
      </c>
      <c r="F585" s="53">
        <v>1575344.5899999999</v>
      </c>
      <c r="G585" s="578">
        <f t="shared" si="75"/>
        <v>1702050.0699999998</v>
      </c>
      <c r="H585" s="41"/>
      <c r="I585" s="41"/>
      <c r="J585" s="41"/>
      <c r="K585" s="41">
        <f t="shared" si="77"/>
        <v>50895.86</v>
      </c>
      <c r="L585" s="41">
        <f t="shared" si="78"/>
        <v>75809.62</v>
      </c>
      <c r="M585" s="41">
        <f t="shared" si="79"/>
        <v>1575344.5899999999</v>
      </c>
      <c r="N585" s="363">
        <f t="shared" si="76"/>
        <v>0</v>
      </c>
      <c r="O585" s="43" t="s">
        <v>3309</v>
      </c>
      <c r="P585" s="43"/>
      <c r="R585" s="41">
        <f t="shared" si="80"/>
        <v>0</v>
      </c>
      <c r="S585" s="41">
        <f t="shared" si="81"/>
        <v>0</v>
      </c>
      <c r="T585" s="41">
        <f t="shared" si="82"/>
        <v>0</v>
      </c>
      <c r="U585" s="41"/>
      <c r="V585" s="44" t="str">
        <f>IF($P585="High",$S585,IF($P585="Mix",SUMIF('High_Low Voltage Mix Summary'!$B$10:$B$17,$B780,'High_Low Voltage Mix Summary'!$D$10:$D$17),""))</f>
        <v/>
      </c>
      <c r="W585" s="44" t="str">
        <f>IF($P585="Low",$S585,IF($P585="Mix",SUMIF('High_Low Voltage Mix Summary'!$B$10:$B$17,$B780,'High_Low Voltage Mix Summary'!$E$10:$E$17),""))</f>
        <v/>
      </c>
      <c r="X585" s="44" t="str">
        <f>IF($P585="High",$T585,IF($P585="Mix",SUMIF('High_Low Voltage Mix Summary'!$B$10:$B$17,$B780,'High_Low Voltage Mix Summary'!$F$10:$F$17),""))</f>
        <v/>
      </c>
      <c r="Y585" s="44" t="str">
        <f>IF($P585="Low",$T585,IF($P585="Mix",SUMIF('High_Low Voltage Mix Summary'!$B$10:$B$17,$B780,'High_Low Voltage Mix Summary'!$G$10:$G$17),""))</f>
        <v/>
      </c>
      <c r="Z585" s="44" t="str">
        <f>IF(OR($P585="High",$P585="Low"),"",IF($P585="Mix",SUMIF('High_Low Voltage Mix Summary'!$B$10:$B$17,$B780,'High_Low Voltage Mix Summary'!$H$10:$H$17),""))</f>
        <v/>
      </c>
      <c r="AB585" s="49">
        <f>SUMIF('Antelope Bailey Split BA'!$B$7:$B$29,B585,'Antelope Bailey Split BA'!$C$7:$C$29)</f>
        <v>0</v>
      </c>
      <c r="AC585" s="49" t="str">
        <f>IF(AND(AB585=1,'Plant Total by Account'!$H$1=2),"EKWRA","")</f>
        <v/>
      </c>
    </row>
    <row r="586" spans="1:29" x14ac:dyDescent="0.2">
      <c r="A586" s="39" t="s">
        <v>3092</v>
      </c>
      <c r="B586" s="45" t="s">
        <v>707</v>
      </c>
      <c r="C586" s="40" t="s">
        <v>3334</v>
      </c>
      <c r="D586" s="53">
        <v>31251.65</v>
      </c>
      <c r="E586" s="53">
        <v>399522.1</v>
      </c>
      <c r="F586" s="53">
        <v>5548422.7200000053</v>
      </c>
      <c r="G586" s="578">
        <f t="shared" ref="G586:G649" si="83">SUM(D586:F586)</f>
        <v>5979196.4700000053</v>
      </c>
      <c r="H586" s="41"/>
      <c r="I586" s="41"/>
      <c r="J586" s="41"/>
      <c r="K586" s="41">
        <f t="shared" si="77"/>
        <v>31251.65</v>
      </c>
      <c r="L586" s="41">
        <f t="shared" si="78"/>
        <v>399522.1</v>
      </c>
      <c r="M586" s="41">
        <f t="shared" si="79"/>
        <v>5548422.7200000053</v>
      </c>
      <c r="N586" s="363">
        <f t="shared" ref="N586:N649" si="84">G586-SUM(H586:M586)</f>
        <v>0</v>
      </c>
      <c r="O586" s="43" t="s">
        <v>3309</v>
      </c>
      <c r="P586" s="43"/>
      <c r="R586" s="41">
        <f t="shared" si="80"/>
        <v>0</v>
      </c>
      <c r="S586" s="41">
        <f t="shared" si="81"/>
        <v>0</v>
      </c>
      <c r="T586" s="41">
        <f t="shared" si="82"/>
        <v>0</v>
      </c>
      <c r="U586" s="41"/>
      <c r="V586" s="44" t="str">
        <f>IF($P586="High",$S586,IF($P586="Mix",SUMIF('High_Low Voltage Mix Summary'!$B$10:$B$17,$B423,'High_Low Voltage Mix Summary'!$D$10:$D$17),""))</f>
        <v/>
      </c>
      <c r="W586" s="44" t="str">
        <f>IF($P586="Low",$S586,IF($P586="Mix",SUMIF('High_Low Voltage Mix Summary'!$B$10:$B$17,$B423,'High_Low Voltage Mix Summary'!$E$10:$E$17),""))</f>
        <v/>
      </c>
      <c r="X586" s="44" t="str">
        <f>IF($P586="High",$T586,IF($P586="Mix",SUMIF('High_Low Voltage Mix Summary'!$B$10:$B$17,$B423,'High_Low Voltage Mix Summary'!$F$10:$F$17),""))</f>
        <v/>
      </c>
      <c r="Y586" s="44" t="str">
        <f>IF($P586="Low",$T586,IF($P586="Mix",SUMIF('High_Low Voltage Mix Summary'!$B$10:$B$17,$B423,'High_Low Voltage Mix Summary'!$G$10:$G$17),""))</f>
        <v/>
      </c>
      <c r="Z586" s="44" t="str">
        <f>IF(OR($P586="High",$P586="Low"),"",IF($P586="Mix",SUMIF('High_Low Voltage Mix Summary'!$B$10:$B$17,$B423,'High_Low Voltage Mix Summary'!$H$10:$H$17),""))</f>
        <v/>
      </c>
      <c r="AB586" s="49">
        <f>SUMIF('Antelope Bailey Split BA'!$B$7:$B$29,B586,'Antelope Bailey Split BA'!$C$7:$C$29)</f>
        <v>0</v>
      </c>
      <c r="AC586" s="49" t="str">
        <f>IF(AND(AB586=1,'Plant Total by Account'!$H$1=2),"EKWRA","")</f>
        <v/>
      </c>
    </row>
    <row r="587" spans="1:29" x14ac:dyDescent="0.2">
      <c r="A587" s="39" t="s">
        <v>3093</v>
      </c>
      <c r="B587" s="45" t="s">
        <v>708</v>
      </c>
      <c r="C587" s="40" t="s">
        <v>3334</v>
      </c>
      <c r="D587" s="53">
        <v>5082.09</v>
      </c>
      <c r="E587" s="53">
        <v>0</v>
      </c>
      <c r="F587" s="53">
        <v>0</v>
      </c>
      <c r="G587" s="578">
        <f t="shared" si="83"/>
        <v>5082.09</v>
      </c>
      <c r="H587" s="41"/>
      <c r="I587" s="41"/>
      <c r="J587" s="41"/>
      <c r="K587" s="41">
        <f t="shared" si="77"/>
        <v>5082.09</v>
      </c>
      <c r="L587" s="41">
        <f t="shared" si="78"/>
        <v>0</v>
      </c>
      <c r="M587" s="41">
        <f t="shared" si="79"/>
        <v>0</v>
      </c>
      <c r="N587" s="363">
        <f t="shared" si="84"/>
        <v>0</v>
      </c>
      <c r="O587" s="43" t="s">
        <v>3309</v>
      </c>
      <c r="P587" s="43"/>
      <c r="R587" s="41">
        <f t="shared" si="80"/>
        <v>0</v>
      </c>
      <c r="S587" s="41">
        <f t="shared" si="81"/>
        <v>0</v>
      </c>
      <c r="T587" s="41">
        <f t="shared" si="82"/>
        <v>0</v>
      </c>
      <c r="U587" s="41"/>
      <c r="V587" s="44" t="str">
        <f>IF($P587="High",$S587,IF($P587="Mix",SUMIF('High_Low Voltage Mix Summary'!$B$10:$B$17,$B424,'High_Low Voltage Mix Summary'!$D$10:$D$17),""))</f>
        <v/>
      </c>
      <c r="W587" s="44" t="str">
        <f>IF($P587="Low",$S587,IF($P587="Mix",SUMIF('High_Low Voltage Mix Summary'!$B$10:$B$17,$B424,'High_Low Voltage Mix Summary'!$E$10:$E$17),""))</f>
        <v/>
      </c>
      <c r="X587" s="44" t="str">
        <f>IF($P587="High",$T587,IF($P587="Mix",SUMIF('High_Low Voltage Mix Summary'!$B$10:$B$17,$B424,'High_Low Voltage Mix Summary'!$F$10:$F$17),""))</f>
        <v/>
      </c>
      <c r="Y587" s="44" t="str">
        <f>IF($P587="Low",$T587,IF($P587="Mix",SUMIF('High_Low Voltage Mix Summary'!$B$10:$B$17,$B424,'High_Low Voltage Mix Summary'!$G$10:$G$17),""))</f>
        <v/>
      </c>
      <c r="Z587" s="44" t="str">
        <f>IF(OR($P587="High",$P587="Low"),"",IF($P587="Mix",SUMIF('High_Low Voltage Mix Summary'!$B$10:$B$17,$B424,'High_Low Voltage Mix Summary'!$H$10:$H$17),""))</f>
        <v/>
      </c>
      <c r="AB587" s="49">
        <f>SUMIF('Antelope Bailey Split BA'!$B$7:$B$29,B587,'Antelope Bailey Split BA'!$C$7:$C$29)</f>
        <v>0</v>
      </c>
      <c r="AC587" s="49" t="str">
        <f>IF(AND(AB587=1,'Plant Total by Account'!$H$1=2),"EKWRA","")</f>
        <v/>
      </c>
    </row>
    <row r="588" spans="1:29" x14ac:dyDescent="0.2">
      <c r="A588" s="39" t="s">
        <v>3094</v>
      </c>
      <c r="B588" s="45" t="s">
        <v>709</v>
      </c>
      <c r="C588" s="40" t="s">
        <v>3334</v>
      </c>
      <c r="D588" s="53">
        <v>9421.65</v>
      </c>
      <c r="E588" s="53">
        <v>159736.68</v>
      </c>
      <c r="F588" s="53">
        <v>3208083.9700000011</v>
      </c>
      <c r="G588" s="578">
        <f t="shared" si="83"/>
        <v>3377242.3000000012</v>
      </c>
      <c r="H588" s="41"/>
      <c r="I588" s="41"/>
      <c r="J588" s="41"/>
      <c r="K588" s="41">
        <f t="shared" si="77"/>
        <v>9421.65</v>
      </c>
      <c r="L588" s="41">
        <f t="shared" si="78"/>
        <v>159736.68</v>
      </c>
      <c r="M588" s="41">
        <f t="shared" si="79"/>
        <v>3208083.9700000011</v>
      </c>
      <c r="N588" s="363">
        <f t="shared" si="84"/>
        <v>0</v>
      </c>
      <c r="O588" s="43" t="s">
        <v>3309</v>
      </c>
      <c r="P588" s="43"/>
      <c r="R588" s="41">
        <f t="shared" si="80"/>
        <v>0</v>
      </c>
      <c r="S588" s="41">
        <f t="shared" si="81"/>
        <v>0</v>
      </c>
      <c r="T588" s="41">
        <f t="shared" si="82"/>
        <v>0</v>
      </c>
      <c r="U588" s="41"/>
      <c r="V588" s="44" t="str">
        <f>IF($P588="High",$S588,IF($P588="Mix",SUMIF('High_Low Voltage Mix Summary'!$B$10:$B$17,$B425,'High_Low Voltage Mix Summary'!$D$10:$D$17),""))</f>
        <v/>
      </c>
      <c r="W588" s="44" t="str">
        <f>IF($P588="Low",$S588,IF($P588="Mix",SUMIF('High_Low Voltage Mix Summary'!$B$10:$B$17,$B425,'High_Low Voltage Mix Summary'!$E$10:$E$17),""))</f>
        <v/>
      </c>
      <c r="X588" s="44" t="str">
        <f>IF($P588="High",$T588,IF($P588="Mix",SUMIF('High_Low Voltage Mix Summary'!$B$10:$B$17,$B425,'High_Low Voltage Mix Summary'!$F$10:$F$17),""))</f>
        <v/>
      </c>
      <c r="Y588" s="44" t="str">
        <f>IF($P588="Low",$T588,IF($P588="Mix",SUMIF('High_Low Voltage Mix Summary'!$B$10:$B$17,$B425,'High_Low Voltage Mix Summary'!$G$10:$G$17),""))</f>
        <v/>
      </c>
      <c r="Z588" s="44" t="str">
        <f>IF(OR($P588="High",$P588="Low"),"",IF($P588="Mix",SUMIF('High_Low Voltage Mix Summary'!$B$10:$B$17,$B425,'High_Low Voltage Mix Summary'!$H$10:$H$17),""))</f>
        <v/>
      </c>
      <c r="AB588" s="49">
        <f>SUMIF('Antelope Bailey Split BA'!$B$7:$B$29,B588,'Antelope Bailey Split BA'!$C$7:$C$29)</f>
        <v>0</v>
      </c>
      <c r="AC588" s="49" t="str">
        <f>IF(AND(AB588=1,'Plant Total by Account'!$H$1=2),"EKWRA","")</f>
        <v/>
      </c>
    </row>
    <row r="589" spans="1:29" x14ac:dyDescent="0.2">
      <c r="A589" s="39" t="s">
        <v>2460</v>
      </c>
      <c r="B589" s="45" t="s">
        <v>710</v>
      </c>
      <c r="C589" s="40" t="s">
        <v>3334</v>
      </c>
      <c r="D589" s="53">
        <v>44427.689999999995</v>
      </c>
      <c r="E589" s="53">
        <v>52243.740000000005</v>
      </c>
      <c r="F589" s="53">
        <v>4678992.0600000033</v>
      </c>
      <c r="G589" s="578">
        <f t="shared" si="83"/>
        <v>4775663.490000003</v>
      </c>
      <c r="H589" s="41"/>
      <c r="I589" s="41"/>
      <c r="J589" s="41"/>
      <c r="K589" s="41">
        <f t="shared" si="77"/>
        <v>44427.689999999995</v>
      </c>
      <c r="L589" s="41">
        <f t="shared" si="78"/>
        <v>52243.740000000005</v>
      </c>
      <c r="M589" s="41">
        <f t="shared" si="79"/>
        <v>4678992.0600000033</v>
      </c>
      <c r="N589" s="363">
        <f t="shared" si="84"/>
        <v>0</v>
      </c>
      <c r="O589" s="43" t="s">
        <v>3309</v>
      </c>
      <c r="P589" s="43"/>
      <c r="R589" s="41">
        <f t="shared" si="80"/>
        <v>0</v>
      </c>
      <c r="S589" s="41">
        <f t="shared" si="81"/>
        <v>0</v>
      </c>
      <c r="T589" s="41">
        <f t="shared" si="82"/>
        <v>0</v>
      </c>
      <c r="U589" s="41"/>
      <c r="V589" s="44" t="str">
        <f>IF($P589="High",$S589,IF($P589="Mix",SUMIF('High_Low Voltage Mix Summary'!$B$10:$B$17,$B426,'High_Low Voltage Mix Summary'!$D$10:$D$17),""))</f>
        <v/>
      </c>
      <c r="W589" s="44" t="str">
        <f>IF($P589="Low",$S589,IF($P589="Mix",SUMIF('High_Low Voltage Mix Summary'!$B$10:$B$17,$B426,'High_Low Voltage Mix Summary'!$E$10:$E$17),""))</f>
        <v/>
      </c>
      <c r="X589" s="44" t="str">
        <f>IF($P589="High",$T589,IF($P589="Mix",SUMIF('High_Low Voltage Mix Summary'!$B$10:$B$17,$B426,'High_Low Voltage Mix Summary'!$F$10:$F$17),""))</f>
        <v/>
      </c>
      <c r="Y589" s="44" t="str">
        <f>IF($P589="Low",$T589,IF($P589="Mix",SUMIF('High_Low Voltage Mix Summary'!$B$10:$B$17,$B426,'High_Low Voltage Mix Summary'!$G$10:$G$17),""))</f>
        <v/>
      </c>
      <c r="Z589" s="44" t="str">
        <f>IF(OR($P589="High",$P589="Low"),"",IF($P589="Mix",SUMIF('High_Low Voltage Mix Summary'!$B$10:$B$17,$B426,'High_Low Voltage Mix Summary'!$H$10:$H$17),""))</f>
        <v/>
      </c>
      <c r="AB589" s="49">
        <f>SUMIF('Antelope Bailey Split BA'!$B$7:$B$29,B589,'Antelope Bailey Split BA'!$C$7:$C$29)</f>
        <v>0</v>
      </c>
      <c r="AC589" s="49" t="str">
        <f>IF(AND(AB589=1,'Plant Total by Account'!$H$1=2),"EKWRA","")</f>
        <v/>
      </c>
    </row>
    <row r="590" spans="1:29" x14ac:dyDescent="0.2">
      <c r="A590" s="39" t="s">
        <v>3095</v>
      </c>
      <c r="B590" s="45" t="s">
        <v>711</v>
      </c>
      <c r="C590" s="40" t="s">
        <v>3334</v>
      </c>
      <c r="D590" s="53">
        <v>596.93000000000006</v>
      </c>
      <c r="E590" s="53">
        <v>12898.720000000001</v>
      </c>
      <c r="F590" s="53">
        <v>1076896.49</v>
      </c>
      <c r="G590" s="578">
        <f t="shared" si="83"/>
        <v>1090392.1399999999</v>
      </c>
      <c r="H590" s="41"/>
      <c r="I590" s="41"/>
      <c r="J590" s="41"/>
      <c r="K590" s="41">
        <f t="shared" ref="K590:K653" si="85">D590</f>
        <v>596.93000000000006</v>
      </c>
      <c r="L590" s="41">
        <f t="shared" ref="L590:L653" si="86">E590</f>
        <v>12898.720000000001</v>
      </c>
      <c r="M590" s="41">
        <f t="shared" ref="M590:M653" si="87">F590</f>
        <v>1076896.49</v>
      </c>
      <c r="N590" s="363">
        <f t="shared" si="84"/>
        <v>0</v>
      </c>
      <c r="O590" s="43" t="s">
        <v>3309</v>
      </c>
      <c r="P590" s="43"/>
      <c r="R590" s="41">
        <f t="shared" si="80"/>
        <v>0</v>
      </c>
      <c r="S590" s="41">
        <f t="shared" si="81"/>
        <v>0</v>
      </c>
      <c r="T590" s="41">
        <f t="shared" si="82"/>
        <v>0</v>
      </c>
      <c r="U590" s="41"/>
      <c r="V590" s="44" t="str">
        <f>IF($P590="High",$S590,IF($P590="Mix",SUMIF('High_Low Voltage Mix Summary'!$B$10:$B$17,$B427,'High_Low Voltage Mix Summary'!$D$10:$D$17),""))</f>
        <v/>
      </c>
      <c r="W590" s="44" t="str">
        <f>IF($P590="Low",$S590,IF($P590="Mix",SUMIF('High_Low Voltage Mix Summary'!$B$10:$B$17,$B427,'High_Low Voltage Mix Summary'!$E$10:$E$17),""))</f>
        <v/>
      </c>
      <c r="X590" s="44" t="str">
        <f>IF($P590="High",$T590,IF($P590="Mix",SUMIF('High_Low Voltage Mix Summary'!$B$10:$B$17,$B427,'High_Low Voltage Mix Summary'!$F$10:$F$17),""))</f>
        <v/>
      </c>
      <c r="Y590" s="44" t="str">
        <f>IF($P590="Low",$T590,IF($P590="Mix",SUMIF('High_Low Voltage Mix Summary'!$B$10:$B$17,$B427,'High_Low Voltage Mix Summary'!$G$10:$G$17),""))</f>
        <v/>
      </c>
      <c r="Z590" s="44" t="str">
        <f>IF(OR($P590="High",$P590="Low"),"",IF($P590="Mix",SUMIF('High_Low Voltage Mix Summary'!$B$10:$B$17,$B427,'High_Low Voltage Mix Summary'!$H$10:$H$17),""))</f>
        <v/>
      </c>
      <c r="AB590" s="49">
        <f>SUMIF('Antelope Bailey Split BA'!$B$7:$B$29,B590,'Antelope Bailey Split BA'!$C$7:$C$29)</f>
        <v>0</v>
      </c>
      <c r="AC590" s="49" t="str">
        <f>IF(AND(AB590=1,'Plant Total by Account'!$H$1=2),"EKWRA","")</f>
        <v/>
      </c>
    </row>
    <row r="591" spans="1:29" x14ac:dyDescent="0.2">
      <c r="A591" s="39" t="s">
        <v>3096</v>
      </c>
      <c r="B591" s="45" t="s">
        <v>712</v>
      </c>
      <c r="C591" s="40" t="s">
        <v>3334</v>
      </c>
      <c r="D591" s="53">
        <v>34045.910000000003</v>
      </c>
      <c r="E591" s="53">
        <v>47744.69</v>
      </c>
      <c r="F591" s="53">
        <v>2992175.5299999984</v>
      </c>
      <c r="G591" s="578">
        <f t="shared" si="83"/>
        <v>3073966.1299999985</v>
      </c>
      <c r="H591" s="41"/>
      <c r="I591" s="41"/>
      <c r="J591" s="41"/>
      <c r="K591" s="41">
        <f t="shared" si="85"/>
        <v>34045.910000000003</v>
      </c>
      <c r="L591" s="41">
        <f t="shared" si="86"/>
        <v>47744.69</v>
      </c>
      <c r="M591" s="41">
        <f t="shared" si="87"/>
        <v>2992175.5299999984</v>
      </c>
      <c r="N591" s="363">
        <f t="shared" si="84"/>
        <v>0</v>
      </c>
      <c r="O591" s="43" t="s">
        <v>3309</v>
      </c>
      <c r="P591" s="43"/>
      <c r="R591" s="41">
        <f t="shared" si="80"/>
        <v>0</v>
      </c>
      <c r="S591" s="41">
        <f t="shared" si="81"/>
        <v>0</v>
      </c>
      <c r="T591" s="41">
        <f t="shared" si="82"/>
        <v>0</v>
      </c>
      <c r="U591" s="41"/>
      <c r="V591" s="44" t="str">
        <f>IF($P591="High",$S591,IF($P591="Mix",SUMIF('High_Low Voltage Mix Summary'!$B$10:$B$17,$B428,'High_Low Voltage Mix Summary'!$D$10:$D$17),""))</f>
        <v/>
      </c>
      <c r="W591" s="44" t="str">
        <f>IF($P591="Low",$S591,IF($P591="Mix",SUMIF('High_Low Voltage Mix Summary'!$B$10:$B$17,$B428,'High_Low Voltage Mix Summary'!$E$10:$E$17),""))</f>
        <v/>
      </c>
      <c r="X591" s="44" t="str">
        <f>IF($P591="High",$T591,IF($P591="Mix",SUMIF('High_Low Voltage Mix Summary'!$B$10:$B$17,$B428,'High_Low Voltage Mix Summary'!$F$10:$F$17),""))</f>
        <v/>
      </c>
      <c r="Y591" s="44" t="str">
        <f>IF($P591="Low",$T591,IF($P591="Mix",SUMIF('High_Low Voltage Mix Summary'!$B$10:$B$17,$B428,'High_Low Voltage Mix Summary'!$G$10:$G$17),""))</f>
        <v/>
      </c>
      <c r="Z591" s="44" t="str">
        <f>IF(OR($P591="High",$P591="Low"),"",IF($P591="Mix",SUMIF('High_Low Voltage Mix Summary'!$B$10:$B$17,$B428,'High_Low Voltage Mix Summary'!$H$10:$H$17),""))</f>
        <v/>
      </c>
      <c r="AB591" s="49">
        <f>SUMIF('Antelope Bailey Split BA'!$B$7:$B$29,B591,'Antelope Bailey Split BA'!$C$7:$C$29)</f>
        <v>0</v>
      </c>
      <c r="AC591" s="49" t="str">
        <f>IF(AND(AB591=1,'Plant Total by Account'!$H$1=2),"EKWRA","")</f>
        <v/>
      </c>
    </row>
    <row r="592" spans="1:29" x14ac:dyDescent="0.2">
      <c r="A592" s="39" t="s">
        <v>3097</v>
      </c>
      <c r="B592" s="45" t="s">
        <v>713</v>
      </c>
      <c r="C592" s="40" t="s">
        <v>3334</v>
      </c>
      <c r="D592" s="53">
        <v>14864.98</v>
      </c>
      <c r="E592" s="53">
        <v>122090.66</v>
      </c>
      <c r="F592" s="53">
        <v>7480861.5399999963</v>
      </c>
      <c r="G592" s="578">
        <f t="shared" si="83"/>
        <v>7617817.179999996</v>
      </c>
      <c r="H592" s="41"/>
      <c r="I592" s="41"/>
      <c r="J592" s="41"/>
      <c r="K592" s="41">
        <f t="shared" si="85"/>
        <v>14864.98</v>
      </c>
      <c r="L592" s="41">
        <f t="shared" si="86"/>
        <v>122090.66</v>
      </c>
      <c r="M592" s="41">
        <f t="shared" si="87"/>
        <v>7480861.5399999963</v>
      </c>
      <c r="N592" s="363">
        <f t="shared" si="84"/>
        <v>0</v>
      </c>
      <c r="O592" s="43" t="s">
        <v>3309</v>
      </c>
      <c r="P592" s="43"/>
      <c r="R592" s="41">
        <f t="shared" si="80"/>
        <v>0</v>
      </c>
      <c r="S592" s="41">
        <f t="shared" si="81"/>
        <v>0</v>
      </c>
      <c r="T592" s="41">
        <f t="shared" si="82"/>
        <v>0</v>
      </c>
      <c r="U592" s="41"/>
      <c r="V592" s="44" t="str">
        <f>IF($P592="High",$S592,IF($P592="Mix",SUMIF('High_Low Voltage Mix Summary'!$B$10:$B$17,$B429,'High_Low Voltage Mix Summary'!$D$10:$D$17),""))</f>
        <v/>
      </c>
      <c r="W592" s="44" t="str">
        <f>IF($P592="Low",$S592,IF($P592="Mix",SUMIF('High_Low Voltage Mix Summary'!$B$10:$B$17,$B429,'High_Low Voltage Mix Summary'!$E$10:$E$17),""))</f>
        <v/>
      </c>
      <c r="X592" s="44" t="str">
        <f>IF($P592="High",$T592,IF($P592="Mix",SUMIF('High_Low Voltage Mix Summary'!$B$10:$B$17,$B429,'High_Low Voltage Mix Summary'!$F$10:$F$17),""))</f>
        <v/>
      </c>
      <c r="Y592" s="44" t="str">
        <f>IF($P592="Low",$T592,IF($P592="Mix",SUMIF('High_Low Voltage Mix Summary'!$B$10:$B$17,$B429,'High_Low Voltage Mix Summary'!$G$10:$G$17),""))</f>
        <v/>
      </c>
      <c r="Z592" s="44" t="str">
        <f>IF(OR($P592="High",$P592="Low"),"",IF($P592="Mix",SUMIF('High_Low Voltage Mix Summary'!$B$10:$B$17,$B429,'High_Low Voltage Mix Summary'!$H$10:$H$17),""))</f>
        <v/>
      </c>
      <c r="AB592" s="49">
        <f>SUMIF('Antelope Bailey Split BA'!$B$7:$B$29,B592,'Antelope Bailey Split BA'!$C$7:$C$29)</f>
        <v>0</v>
      </c>
      <c r="AC592" s="49" t="str">
        <f>IF(AND(AB592=1,'Plant Total by Account'!$H$1=2),"EKWRA","")</f>
        <v/>
      </c>
    </row>
    <row r="593" spans="1:29" x14ac:dyDescent="0.2">
      <c r="A593" s="39" t="s">
        <v>3098</v>
      </c>
      <c r="B593" s="45" t="s">
        <v>714</v>
      </c>
      <c r="C593" s="40" t="s">
        <v>3334</v>
      </c>
      <c r="D593" s="53">
        <v>75818.17</v>
      </c>
      <c r="E593" s="53">
        <v>308060.37</v>
      </c>
      <c r="F593" s="53">
        <v>4357713.1100000031</v>
      </c>
      <c r="G593" s="578">
        <f t="shared" si="83"/>
        <v>4741591.6500000032</v>
      </c>
      <c r="H593" s="41"/>
      <c r="I593" s="41"/>
      <c r="J593" s="41"/>
      <c r="K593" s="41">
        <f t="shared" si="85"/>
        <v>75818.17</v>
      </c>
      <c r="L593" s="41">
        <f t="shared" si="86"/>
        <v>308060.37</v>
      </c>
      <c r="M593" s="41">
        <f t="shared" si="87"/>
        <v>4357713.1100000031</v>
      </c>
      <c r="N593" s="363">
        <f t="shared" si="84"/>
        <v>0</v>
      </c>
      <c r="O593" s="43" t="s">
        <v>3309</v>
      </c>
      <c r="P593" s="43"/>
      <c r="R593" s="41">
        <f t="shared" si="80"/>
        <v>0</v>
      </c>
      <c r="S593" s="41">
        <f t="shared" si="81"/>
        <v>0</v>
      </c>
      <c r="T593" s="41">
        <f t="shared" si="82"/>
        <v>0</v>
      </c>
      <c r="U593" s="41"/>
      <c r="V593" s="44" t="str">
        <f>IF($P593="High",$S593,IF($P593="Mix",SUMIF('High_Low Voltage Mix Summary'!$B$10:$B$17,$B430,'High_Low Voltage Mix Summary'!$D$10:$D$17),""))</f>
        <v/>
      </c>
      <c r="W593" s="44" t="str">
        <f>IF($P593="Low",$S593,IF($P593="Mix",SUMIF('High_Low Voltage Mix Summary'!$B$10:$B$17,$B430,'High_Low Voltage Mix Summary'!$E$10:$E$17),""))</f>
        <v/>
      </c>
      <c r="X593" s="44" t="str">
        <f>IF($P593="High",$T593,IF($P593="Mix",SUMIF('High_Low Voltage Mix Summary'!$B$10:$B$17,$B430,'High_Low Voltage Mix Summary'!$F$10:$F$17),""))</f>
        <v/>
      </c>
      <c r="Y593" s="44" t="str">
        <f>IF($P593="Low",$T593,IF($P593="Mix",SUMIF('High_Low Voltage Mix Summary'!$B$10:$B$17,$B430,'High_Low Voltage Mix Summary'!$G$10:$G$17),""))</f>
        <v/>
      </c>
      <c r="Z593" s="44" t="str">
        <f>IF(OR($P593="High",$P593="Low"),"",IF($P593="Mix",SUMIF('High_Low Voltage Mix Summary'!$B$10:$B$17,$B430,'High_Low Voltage Mix Summary'!$H$10:$H$17),""))</f>
        <v/>
      </c>
      <c r="AB593" s="49">
        <f>SUMIF('Antelope Bailey Split BA'!$B$7:$B$29,B593,'Antelope Bailey Split BA'!$C$7:$C$29)</f>
        <v>0</v>
      </c>
      <c r="AC593" s="49" t="str">
        <f>IF(AND(AB593=1,'Plant Total by Account'!$H$1=2),"EKWRA","")</f>
        <v/>
      </c>
    </row>
    <row r="594" spans="1:29" x14ac:dyDescent="0.2">
      <c r="A594" s="39" t="s">
        <v>3099</v>
      </c>
      <c r="B594" s="45" t="s">
        <v>715</v>
      </c>
      <c r="C594" s="40" t="s">
        <v>3333</v>
      </c>
      <c r="D594" s="53">
        <v>2148.5300000000002</v>
      </c>
      <c r="E594" s="53">
        <v>9955.0400000000009</v>
      </c>
      <c r="F594" s="53">
        <v>457135.48000000004</v>
      </c>
      <c r="G594" s="578">
        <f t="shared" si="83"/>
        <v>469239.05000000005</v>
      </c>
      <c r="H594" s="41"/>
      <c r="I594" s="41"/>
      <c r="J594" s="41"/>
      <c r="K594" s="41">
        <f t="shared" si="85"/>
        <v>2148.5300000000002</v>
      </c>
      <c r="L594" s="41">
        <f t="shared" si="86"/>
        <v>9955.0400000000009</v>
      </c>
      <c r="M594" s="41">
        <f t="shared" si="87"/>
        <v>457135.48000000004</v>
      </c>
      <c r="N594" s="363">
        <f t="shared" si="84"/>
        <v>0</v>
      </c>
      <c r="O594" s="43" t="s">
        <v>3309</v>
      </c>
      <c r="P594" s="43"/>
      <c r="R594" s="41">
        <f t="shared" si="80"/>
        <v>0</v>
      </c>
      <c r="S594" s="41">
        <f t="shared" si="81"/>
        <v>0</v>
      </c>
      <c r="T594" s="41">
        <f t="shared" si="82"/>
        <v>0</v>
      </c>
      <c r="U594" s="41"/>
      <c r="V594" s="44" t="str">
        <f>IF($P594="High",$S594,IF($P594="Mix",SUMIF('High_Low Voltage Mix Summary'!$B$10:$B$17,$B431,'High_Low Voltage Mix Summary'!$D$10:$D$17),""))</f>
        <v/>
      </c>
      <c r="W594" s="44" t="str">
        <f>IF($P594="Low",$S594,IF($P594="Mix",SUMIF('High_Low Voltage Mix Summary'!$B$10:$B$17,$B431,'High_Low Voltage Mix Summary'!$E$10:$E$17),""))</f>
        <v/>
      </c>
      <c r="X594" s="44" t="str">
        <f>IF($P594="High",$T594,IF($P594="Mix",SUMIF('High_Low Voltage Mix Summary'!$B$10:$B$17,$B431,'High_Low Voltage Mix Summary'!$F$10:$F$17),""))</f>
        <v/>
      </c>
      <c r="Y594" s="44" t="str">
        <f>IF($P594="Low",$T594,IF($P594="Mix",SUMIF('High_Low Voltage Mix Summary'!$B$10:$B$17,$B431,'High_Low Voltage Mix Summary'!$G$10:$G$17),""))</f>
        <v/>
      </c>
      <c r="Z594" s="44" t="str">
        <f>IF(OR($P594="High",$P594="Low"),"",IF($P594="Mix",SUMIF('High_Low Voltage Mix Summary'!$B$10:$B$17,$B431,'High_Low Voltage Mix Summary'!$H$10:$H$17),""))</f>
        <v/>
      </c>
      <c r="AB594" s="49">
        <f>SUMIF('Antelope Bailey Split BA'!$B$7:$B$29,B594,'Antelope Bailey Split BA'!$C$7:$C$29)</f>
        <v>0</v>
      </c>
      <c r="AC594" s="49" t="str">
        <f>IF(AND(AB594=1,'Plant Total by Account'!$H$1=2),"EKWRA","")</f>
        <v/>
      </c>
    </row>
    <row r="595" spans="1:29" x14ac:dyDescent="0.2">
      <c r="A595" s="39" t="s">
        <v>3100</v>
      </c>
      <c r="B595" s="45" t="s">
        <v>716</v>
      </c>
      <c r="C595" s="40" t="s">
        <v>3334</v>
      </c>
      <c r="D595" s="53">
        <v>648505.84</v>
      </c>
      <c r="E595" s="53">
        <v>566458.20000000007</v>
      </c>
      <c r="F595" s="53">
        <v>7614847.4300000025</v>
      </c>
      <c r="G595" s="578">
        <f t="shared" si="83"/>
        <v>8829811.4700000025</v>
      </c>
      <c r="H595" s="41"/>
      <c r="I595" s="41"/>
      <c r="J595" s="41"/>
      <c r="K595" s="41">
        <f t="shared" si="85"/>
        <v>648505.84</v>
      </c>
      <c r="L595" s="41">
        <f t="shared" si="86"/>
        <v>566458.20000000007</v>
      </c>
      <c r="M595" s="41">
        <f t="shared" si="87"/>
        <v>7614847.4300000025</v>
      </c>
      <c r="N595" s="363">
        <f t="shared" si="84"/>
        <v>0</v>
      </c>
      <c r="O595" s="43" t="s">
        <v>3309</v>
      </c>
      <c r="P595" s="43"/>
      <c r="R595" s="41">
        <f t="shared" si="80"/>
        <v>0</v>
      </c>
      <c r="S595" s="41">
        <f t="shared" si="81"/>
        <v>0</v>
      </c>
      <c r="T595" s="41">
        <f t="shared" si="82"/>
        <v>0</v>
      </c>
      <c r="U595" s="41"/>
      <c r="V595" s="44" t="str">
        <f>IF($P595="High",$S595,IF($P595="Mix",SUMIF('High_Low Voltage Mix Summary'!$B$10:$B$17,#REF!,'High_Low Voltage Mix Summary'!$D$10:$D$17),""))</f>
        <v/>
      </c>
      <c r="W595" s="44" t="str">
        <f>IF($P595="Low",$S595,IF($P595="Mix",SUMIF('High_Low Voltage Mix Summary'!$B$10:$B$17,#REF!,'High_Low Voltage Mix Summary'!$E$10:$E$17),""))</f>
        <v/>
      </c>
      <c r="X595" s="44" t="str">
        <f>IF($P595="High",$T595,IF($P595="Mix",SUMIF('High_Low Voltage Mix Summary'!$B$10:$B$17,#REF!,'High_Low Voltage Mix Summary'!$F$10:$F$17),""))</f>
        <v/>
      </c>
      <c r="Y595" s="44" t="str">
        <f>IF($P595="Low",$T595,IF($P595="Mix",SUMIF('High_Low Voltage Mix Summary'!$B$10:$B$17,#REF!,'High_Low Voltage Mix Summary'!$G$10:$G$17),""))</f>
        <v/>
      </c>
      <c r="Z595" s="44" t="str">
        <f>IF(OR($P595="High",$P595="Low"),"",IF($P595="Mix",SUMIF('High_Low Voltage Mix Summary'!$B$10:$B$17,#REF!,'High_Low Voltage Mix Summary'!$H$10:$H$17),""))</f>
        <v/>
      </c>
      <c r="AB595" s="49">
        <f>SUMIF('Antelope Bailey Split BA'!$B$7:$B$29,B595,'Antelope Bailey Split BA'!$C$7:$C$29)</f>
        <v>0</v>
      </c>
      <c r="AC595" s="49" t="str">
        <f>IF(AND(AB595=1,'Plant Total by Account'!$H$1=2),"EKWRA","")</f>
        <v/>
      </c>
    </row>
    <row r="596" spans="1:29" x14ac:dyDescent="0.2">
      <c r="A596" s="39" t="s">
        <v>3101</v>
      </c>
      <c r="B596" s="45" t="s">
        <v>717</v>
      </c>
      <c r="C596" s="40" t="s">
        <v>3334</v>
      </c>
      <c r="D596" s="53">
        <v>61155.360000000001</v>
      </c>
      <c r="E596" s="53">
        <v>42050.959999999992</v>
      </c>
      <c r="F596" s="53">
        <v>1168439.9700000002</v>
      </c>
      <c r="G596" s="578">
        <f t="shared" si="83"/>
        <v>1271646.2900000003</v>
      </c>
      <c r="H596" s="41"/>
      <c r="I596" s="41"/>
      <c r="J596" s="41"/>
      <c r="K596" s="41">
        <f t="shared" si="85"/>
        <v>61155.360000000001</v>
      </c>
      <c r="L596" s="41">
        <f t="shared" si="86"/>
        <v>42050.959999999992</v>
      </c>
      <c r="M596" s="41">
        <f t="shared" si="87"/>
        <v>1168439.9700000002</v>
      </c>
      <c r="N596" s="363">
        <f t="shared" si="84"/>
        <v>0</v>
      </c>
      <c r="O596" s="43" t="s">
        <v>3309</v>
      </c>
      <c r="P596" s="43"/>
      <c r="R596" s="41">
        <f t="shared" si="80"/>
        <v>0</v>
      </c>
      <c r="S596" s="41">
        <f t="shared" si="81"/>
        <v>0</v>
      </c>
      <c r="T596" s="41">
        <f t="shared" si="82"/>
        <v>0</v>
      </c>
      <c r="U596" s="41"/>
      <c r="V596" s="44" t="str">
        <f>IF($P596="High",$S596,IF($P596="Mix",SUMIF('High_Low Voltage Mix Summary'!$B$10:$B$17,$B432,'High_Low Voltage Mix Summary'!$D$10:$D$17),""))</f>
        <v/>
      </c>
      <c r="W596" s="44" t="str">
        <f>IF($P596="Low",$S596,IF($P596="Mix",SUMIF('High_Low Voltage Mix Summary'!$B$10:$B$17,$B432,'High_Low Voltage Mix Summary'!$E$10:$E$17),""))</f>
        <v/>
      </c>
      <c r="X596" s="44" t="str">
        <f>IF($P596="High",$T596,IF($P596="Mix",SUMIF('High_Low Voltage Mix Summary'!$B$10:$B$17,$B432,'High_Low Voltage Mix Summary'!$F$10:$F$17),""))</f>
        <v/>
      </c>
      <c r="Y596" s="44" t="str">
        <f>IF($P596="Low",$T596,IF($P596="Mix",SUMIF('High_Low Voltage Mix Summary'!$B$10:$B$17,$B432,'High_Low Voltage Mix Summary'!$G$10:$G$17),""))</f>
        <v/>
      </c>
      <c r="Z596" s="44" t="str">
        <f>IF(OR($P596="High",$P596="Low"),"",IF($P596="Mix",SUMIF('High_Low Voltage Mix Summary'!$B$10:$B$17,$B432,'High_Low Voltage Mix Summary'!$H$10:$H$17),""))</f>
        <v/>
      </c>
      <c r="AB596" s="49">
        <f>SUMIF('Antelope Bailey Split BA'!$B$7:$B$29,B596,'Antelope Bailey Split BA'!$C$7:$C$29)</f>
        <v>0</v>
      </c>
      <c r="AC596" s="49" t="str">
        <f>IF(AND(AB596=1,'Plant Total by Account'!$H$1=2),"EKWRA","")</f>
        <v/>
      </c>
    </row>
    <row r="597" spans="1:29" x14ac:dyDescent="0.2">
      <c r="A597" s="39" t="s">
        <v>3102</v>
      </c>
      <c r="B597" s="45" t="s">
        <v>718</v>
      </c>
      <c r="C597" s="40" t="s">
        <v>3334</v>
      </c>
      <c r="D597" s="53">
        <v>31263.46</v>
      </c>
      <c r="E597" s="53">
        <v>136884.75</v>
      </c>
      <c r="F597" s="53">
        <v>4339875.0499999989</v>
      </c>
      <c r="G597" s="578">
        <f t="shared" si="83"/>
        <v>4508023.2599999988</v>
      </c>
      <c r="H597" s="41"/>
      <c r="I597" s="41"/>
      <c r="J597" s="41"/>
      <c r="K597" s="41">
        <f t="shared" si="85"/>
        <v>31263.46</v>
      </c>
      <c r="L597" s="41">
        <f t="shared" si="86"/>
        <v>136884.75</v>
      </c>
      <c r="M597" s="41">
        <f t="shared" si="87"/>
        <v>4339875.0499999989</v>
      </c>
      <c r="N597" s="363">
        <f t="shared" si="84"/>
        <v>0</v>
      </c>
      <c r="O597" s="43" t="s">
        <v>3309</v>
      </c>
      <c r="P597" s="43"/>
      <c r="R597" s="41">
        <f t="shared" si="80"/>
        <v>0</v>
      </c>
      <c r="S597" s="41">
        <f t="shared" si="81"/>
        <v>0</v>
      </c>
      <c r="T597" s="41">
        <f t="shared" si="82"/>
        <v>0</v>
      </c>
      <c r="U597" s="41"/>
      <c r="V597" s="44" t="str">
        <f>IF($P597="High",$S597,IF($P597="Mix",SUMIF('High_Low Voltage Mix Summary'!$B$10:$B$17,$B433,'High_Low Voltage Mix Summary'!$D$10:$D$17),""))</f>
        <v/>
      </c>
      <c r="W597" s="44" t="str">
        <f>IF($P597="Low",$S597,IF($P597="Mix",SUMIF('High_Low Voltage Mix Summary'!$B$10:$B$17,$B433,'High_Low Voltage Mix Summary'!$E$10:$E$17),""))</f>
        <v/>
      </c>
      <c r="X597" s="44" t="str">
        <f>IF($P597="High",$T597,IF($P597="Mix",SUMIF('High_Low Voltage Mix Summary'!$B$10:$B$17,$B433,'High_Low Voltage Mix Summary'!$F$10:$F$17),""))</f>
        <v/>
      </c>
      <c r="Y597" s="44" t="str">
        <f>IF($P597="Low",$T597,IF($P597="Mix",SUMIF('High_Low Voltage Mix Summary'!$B$10:$B$17,$B433,'High_Low Voltage Mix Summary'!$G$10:$G$17),""))</f>
        <v/>
      </c>
      <c r="Z597" s="44" t="str">
        <f>IF(OR($P597="High",$P597="Low"),"",IF($P597="Mix",SUMIF('High_Low Voltage Mix Summary'!$B$10:$B$17,$B433,'High_Low Voltage Mix Summary'!$H$10:$H$17),""))</f>
        <v/>
      </c>
      <c r="AB597" s="49">
        <f>SUMIF('Antelope Bailey Split BA'!$B$7:$B$29,B597,'Antelope Bailey Split BA'!$C$7:$C$29)</f>
        <v>0</v>
      </c>
      <c r="AC597" s="49" t="str">
        <f>IF(AND(AB597=1,'Plant Total by Account'!$H$1=2),"EKWRA","")</f>
        <v/>
      </c>
    </row>
    <row r="598" spans="1:29" x14ac:dyDescent="0.2">
      <c r="A598" s="39" t="s">
        <v>2461</v>
      </c>
      <c r="B598" s="45" t="s">
        <v>719</v>
      </c>
      <c r="C598" s="40" t="s">
        <v>3334</v>
      </c>
      <c r="D598" s="53">
        <v>6615.51</v>
      </c>
      <c r="E598" s="53">
        <v>493616.01999999996</v>
      </c>
      <c r="F598" s="53">
        <v>7307900.5700000031</v>
      </c>
      <c r="G598" s="578">
        <f t="shared" si="83"/>
        <v>7808132.1000000034</v>
      </c>
      <c r="H598" s="41"/>
      <c r="I598" s="41"/>
      <c r="J598" s="41"/>
      <c r="K598" s="41">
        <f t="shared" si="85"/>
        <v>6615.51</v>
      </c>
      <c r="L598" s="41">
        <f t="shared" si="86"/>
        <v>493616.01999999996</v>
      </c>
      <c r="M598" s="41">
        <f t="shared" si="87"/>
        <v>7307900.5700000031</v>
      </c>
      <c r="N598" s="363">
        <f t="shared" si="84"/>
        <v>0</v>
      </c>
      <c r="O598" s="43" t="s">
        <v>3309</v>
      </c>
      <c r="P598" s="43"/>
      <c r="R598" s="41">
        <f t="shared" si="80"/>
        <v>0</v>
      </c>
      <c r="S598" s="41">
        <f t="shared" si="81"/>
        <v>0</v>
      </c>
      <c r="T598" s="41">
        <f t="shared" si="82"/>
        <v>0</v>
      </c>
      <c r="U598" s="41"/>
      <c r="V598" s="44" t="str">
        <f>IF($P598="High",$S598,IF($P598="Mix",SUMIF('High_Low Voltage Mix Summary'!$B$10:$B$17,$B434,'High_Low Voltage Mix Summary'!$D$10:$D$17),""))</f>
        <v/>
      </c>
      <c r="W598" s="44" t="str">
        <f>IF($P598="Low",$S598,IF($P598="Mix",SUMIF('High_Low Voltage Mix Summary'!$B$10:$B$17,$B434,'High_Low Voltage Mix Summary'!$E$10:$E$17),""))</f>
        <v/>
      </c>
      <c r="X598" s="44" t="str">
        <f>IF($P598="High",$T598,IF($P598="Mix",SUMIF('High_Low Voltage Mix Summary'!$B$10:$B$17,$B434,'High_Low Voltage Mix Summary'!$F$10:$F$17),""))</f>
        <v/>
      </c>
      <c r="Y598" s="44" t="str">
        <f>IF($P598="Low",$T598,IF($P598="Mix",SUMIF('High_Low Voltage Mix Summary'!$B$10:$B$17,$B434,'High_Low Voltage Mix Summary'!$G$10:$G$17),""))</f>
        <v/>
      </c>
      <c r="Z598" s="44" t="str">
        <f>IF(OR($P598="High",$P598="Low"),"",IF($P598="Mix",SUMIF('High_Low Voltage Mix Summary'!$B$10:$B$17,$B434,'High_Low Voltage Mix Summary'!$H$10:$H$17),""))</f>
        <v/>
      </c>
      <c r="AB598" s="49">
        <f>SUMIF('Antelope Bailey Split BA'!$B$7:$B$29,B598,'Antelope Bailey Split BA'!$C$7:$C$29)</f>
        <v>0</v>
      </c>
      <c r="AC598" s="49" t="str">
        <f>IF(AND(AB598=1,'Plant Total by Account'!$H$1=2),"EKWRA","")</f>
        <v/>
      </c>
    </row>
    <row r="599" spans="1:29" x14ac:dyDescent="0.2">
      <c r="A599" s="39" t="s">
        <v>3103</v>
      </c>
      <c r="B599" s="45" t="s">
        <v>720</v>
      </c>
      <c r="C599" s="40" t="s">
        <v>3334</v>
      </c>
      <c r="D599" s="53">
        <v>1488.29</v>
      </c>
      <c r="E599" s="53">
        <v>10364.84</v>
      </c>
      <c r="F599" s="53">
        <v>440083.02</v>
      </c>
      <c r="G599" s="578">
        <f t="shared" si="83"/>
        <v>451936.15</v>
      </c>
      <c r="H599" s="41"/>
      <c r="I599" s="41"/>
      <c r="J599" s="41"/>
      <c r="K599" s="41">
        <f t="shared" si="85"/>
        <v>1488.29</v>
      </c>
      <c r="L599" s="41">
        <f t="shared" si="86"/>
        <v>10364.84</v>
      </c>
      <c r="M599" s="41">
        <f t="shared" si="87"/>
        <v>440083.02</v>
      </c>
      <c r="N599" s="363">
        <f t="shared" si="84"/>
        <v>0</v>
      </c>
      <c r="O599" s="43" t="s">
        <v>3309</v>
      </c>
      <c r="P599" s="43"/>
      <c r="R599" s="41">
        <f t="shared" si="80"/>
        <v>0</v>
      </c>
      <c r="S599" s="41">
        <f t="shared" si="81"/>
        <v>0</v>
      </c>
      <c r="T599" s="41">
        <f t="shared" si="82"/>
        <v>0</v>
      </c>
      <c r="U599" s="41"/>
      <c r="V599" s="44" t="str">
        <f>IF($P599="High",$S599,IF($P599="Mix",SUMIF('High_Low Voltage Mix Summary'!$B$10:$B$17,$B435,'High_Low Voltage Mix Summary'!$D$10:$D$17),""))</f>
        <v/>
      </c>
      <c r="W599" s="44" t="str">
        <f>IF($P599="Low",$S599,IF($P599="Mix",SUMIF('High_Low Voltage Mix Summary'!$B$10:$B$17,$B435,'High_Low Voltage Mix Summary'!$E$10:$E$17),""))</f>
        <v/>
      </c>
      <c r="X599" s="44" t="str">
        <f>IF($P599="High",$T599,IF($P599="Mix",SUMIF('High_Low Voltage Mix Summary'!$B$10:$B$17,$B435,'High_Low Voltage Mix Summary'!$F$10:$F$17),""))</f>
        <v/>
      </c>
      <c r="Y599" s="44" t="str">
        <f>IF($P599="Low",$T599,IF($P599="Mix",SUMIF('High_Low Voltage Mix Summary'!$B$10:$B$17,$B435,'High_Low Voltage Mix Summary'!$G$10:$G$17),""))</f>
        <v/>
      </c>
      <c r="Z599" s="44" t="str">
        <f>IF(OR($P599="High",$P599="Low"),"",IF($P599="Mix",SUMIF('High_Low Voltage Mix Summary'!$B$10:$B$17,$B435,'High_Low Voltage Mix Summary'!$H$10:$H$17),""))</f>
        <v/>
      </c>
      <c r="AB599" s="49">
        <f>SUMIF('Antelope Bailey Split BA'!$B$7:$B$29,B599,'Antelope Bailey Split BA'!$C$7:$C$29)</f>
        <v>0</v>
      </c>
      <c r="AC599" s="49" t="str">
        <f>IF(AND(AB599=1,'Plant Total by Account'!$H$1=2),"EKWRA","")</f>
        <v/>
      </c>
    </row>
    <row r="600" spans="1:29" x14ac:dyDescent="0.2">
      <c r="A600" s="39" t="s">
        <v>2462</v>
      </c>
      <c r="B600" s="45" t="s">
        <v>721</v>
      </c>
      <c r="C600" s="40" t="s">
        <v>3334</v>
      </c>
      <c r="D600" s="53">
        <v>58054.76</v>
      </c>
      <c r="E600" s="53">
        <v>118690.79000000001</v>
      </c>
      <c r="F600" s="53">
        <v>4566366.3199999975</v>
      </c>
      <c r="G600" s="578">
        <f t="shared" si="83"/>
        <v>4743111.8699999973</v>
      </c>
      <c r="H600" s="41"/>
      <c r="I600" s="41"/>
      <c r="J600" s="41"/>
      <c r="K600" s="41">
        <f t="shared" si="85"/>
        <v>58054.76</v>
      </c>
      <c r="L600" s="41">
        <f t="shared" si="86"/>
        <v>118690.79000000001</v>
      </c>
      <c r="M600" s="41">
        <f t="shared" si="87"/>
        <v>4566366.3199999975</v>
      </c>
      <c r="N600" s="363">
        <f t="shared" si="84"/>
        <v>0</v>
      </c>
      <c r="O600" s="43" t="s">
        <v>3309</v>
      </c>
      <c r="P600" s="43"/>
      <c r="R600" s="41">
        <f t="shared" si="80"/>
        <v>0</v>
      </c>
      <c r="S600" s="41">
        <f t="shared" si="81"/>
        <v>0</v>
      </c>
      <c r="T600" s="41">
        <f t="shared" si="82"/>
        <v>0</v>
      </c>
      <c r="U600" s="41"/>
      <c r="V600" s="44" t="str">
        <f>IF($P600="High",$S600,IF($P600="Mix",SUMIF('High_Low Voltage Mix Summary'!$B$10:$B$17,$B436,'High_Low Voltage Mix Summary'!$D$10:$D$17),""))</f>
        <v/>
      </c>
      <c r="W600" s="44" t="str">
        <f>IF($P600="Low",$S600,IF($P600="Mix",SUMIF('High_Low Voltage Mix Summary'!$B$10:$B$17,$B436,'High_Low Voltage Mix Summary'!$E$10:$E$17),""))</f>
        <v/>
      </c>
      <c r="X600" s="44" t="str">
        <f>IF($P600="High",$T600,IF($P600="Mix",SUMIF('High_Low Voltage Mix Summary'!$B$10:$B$17,$B436,'High_Low Voltage Mix Summary'!$F$10:$F$17),""))</f>
        <v/>
      </c>
      <c r="Y600" s="44" t="str">
        <f>IF($P600="Low",$T600,IF($P600="Mix",SUMIF('High_Low Voltage Mix Summary'!$B$10:$B$17,$B436,'High_Low Voltage Mix Summary'!$G$10:$G$17),""))</f>
        <v/>
      </c>
      <c r="Z600" s="44" t="str">
        <f>IF(OR($P600="High",$P600="Low"),"",IF($P600="Mix",SUMIF('High_Low Voltage Mix Summary'!$B$10:$B$17,$B436,'High_Low Voltage Mix Summary'!$H$10:$H$17),""))</f>
        <v/>
      </c>
      <c r="AB600" s="49">
        <f>SUMIF('Antelope Bailey Split BA'!$B$7:$B$29,B600,'Antelope Bailey Split BA'!$C$7:$C$29)</f>
        <v>0</v>
      </c>
      <c r="AC600" s="49" t="str">
        <f>IF(AND(AB600=1,'Plant Total by Account'!$H$1=2),"EKWRA","")</f>
        <v/>
      </c>
    </row>
    <row r="601" spans="1:29" x14ac:dyDescent="0.2">
      <c r="A601" s="39" t="s">
        <v>3104</v>
      </c>
      <c r="B601" s="45" t="s">
        <v>722</v>
      </c>
      <c r="C601" s="40" t="s">
        <v>3333</v>
      </c>
      <c r="D601" s="53">
        <v>4078.3</v>
      </c>
      <c r="E601" s="53">
        <v>165475.63</v>
      </c>
      <c r="F601" s="53">
        <v>1405697.8399999989</v>
      </c>
      <c r="G601" s="578">
        <f t="shared" si="83"/>
        <v>1575251.7699999989</v>
      </c>
      <c r="H601" s="41"/>
      <c r="I601" s="41"/>
      <c r="J601" s="41"/>
      <c r="K601" s="41">
        <f t="shared" si="85"/>
        <v>4078.3</v>
      </c>
      <c r="L601" s="41">
        <f t="shared" si="86"/>
        <v>165475.63</v>
      </c>
      <c r="M601" s="41">
        <f t="shared" si="87"/>
        <v>1405697.8399999989</v>
      </c>
      <c r="N601" s="363">
        <f t="shared" si="84"/>
        <v>0</v>
      </c>
      <c r="O601" s="43" t="s">
        <v>3309</v>
      </c>
      <c r="P601" s="43"/>
      <c r="R601" s="41">
        <f t="shared" si="80"/>
        <v>0</v>
      </c>
      <c r="S601" s="41">
        <f t="shared" si="81"/>
        <v>0</v>
      </c>
      <c r="T601" s="41">
        <f t="shared" si="82"/>
        <v>0</v>
      </c>
      <c r="U601" s="41"/>
      <c r="V601" s="44" t="str">
        <f>IF($P601="High",$S601,IF($P601="Mix",SUMIF('High_Low Voltage Mix Summary'!$B$10:$B$17,$B437,'High_Low Voltage Mix Summary'!$D$10:$D$17),""))</f>
        <v/>
      </c>
      <c r="W601" s="44" t="str">
        <f>IF($P601="Low",$S601,IF($P601="Mix",SUMIF('High_Low Voltage Mix Summary'!$B$10:$B$17,$B437,'High_Low Voltage Mix Summary'!$E$10:$E$17),""))</f>
        <v/>
      </c>
      <c r="X601" s="44" t="str">
        <f>IF($P601="High",$T601,IF($P601="Mix",SUMIF('High_Low Voltage Mix Summary'!$B$10:$B$17,$B437,'High_Low Voltage Mix Summary'!$F$10:$F$17),""))</f>
        <v/>
      </c>
      <c r="Y601" s="44" t="str">
        <f>IF($P601="Low",$T601,IF($P601="Mix",SUMIF('High_Low Voltage Mix Summary'!$B$10:$B$17,$B437,'High_Low Voltage Mix Summary'!$G$10:$G$17),""))</f>
        <v/>
      </c>
      <c r="Z601" s="44" t="str">
        <f>IF(OR($P601="High",$P601="Low"),"",IF($P601="Mix",SUMIF('High_Low Voltage Mix Summary'!$B$10:$B$17,$B437,'High_Low Voltage Mix Summary'!$H$10:$H$17),""))</f>
        <v/>
      </c>
      <c r="AB601" s="49">
        <f>SUMIF('Antelope Bailey Split BA'!$B$7:$B$29,B601,'Antelope Bailey Split BA'!$C$7:$C$29)</f>
        <v>0</v>
      </c>
      <c r="AC601" s="49" t="str">
        <f>IF(AND(AB601=1,'Plant Total by Account'!$H$1=2),"EKWRA","")</f>
        <v/>
      </c>
    </row>
    <row r="602" spans="1:29" x14ac:dyDescent="0.2">
      <c r="A602" s="39" t="s">
        <v>3105</v>
      </c>
      <c r="B602" s="45" t="s">
        <v>723</v>
      </c>
      <c r="C602" s="40" t="s">
        <v>3334</v>
      </c>
      <c r="D602" s="53">
        <v>57928.73</v>
      </c>
      <c r="E602" s="53">
        <v>226271.78999999998</v>
      </c>
      <c r="F602" s="53">
        <v>7297227.4500000039</v>
      </c>
      <c r="G602" s="578">
        <f t="shared" si="83"/>
        <v>7581427.9700000035</v>
      </c>
      <c r="H602" s="41"/>
      <c r="I602" s="41"/>
      <c r="J602" s="41"/>
      <c r="K602" s="41">
        <f t="shared" si="85"/>
        <v>57928.73</v>
      </c>
      <c r="L602" s="41">
        <f t="shared" si="86"/>
        <v>226271.78999999998</v>
      </c>
      <c r="M602" s="41">
        <f t="shared" si="87"/>
        <v>7297227.4500000039</v>
      </c>
      <c r="N602" s="363">
        <f t="shared" si="84"/>
        <v>0</v>
      </c>
      <c r="O602" s="43" t="s">
        <v>3309</v>
      </c>
      <c r="P602" s="43"/>
      <c r="R602" s="41">
        <f t="shared" si="80"/>
        <v>0</v>
      </c>
      <c r="S602" s="41">
        <f t="shared" si="81"/>
        <v>0</v>
      </c>
      <c r="T602" s="41">
        <f t="shared" si="82"/>
        <v>0</v>
      </c>
      <c r="U602" s="41"/>
      <c r="V602" s="44" t="str">
        <f>IF($P602="High",$S602,IF($P602="Mix",SUMIF('High_Low Voltage Mix Summary'!$B$10:$B$17,#REF!,'High_Low Voltage Mix Summary'!$D$10:$D$17),""))</f>
        <v/>
      </c>
      <c r="W602" s="44" t="str">
        <f>IF($P602="Low",$S602,IF($P602="Mix",SUMIF('High_Low Voltage Mix Summary'!$B$10:$B$17,#REF!,'High_Low Voltage Mix Summary'!$E$10:$E$17),""))</f>
        <v/>
      </c>
      <c r="X602" s="44" t="str">
        <f>IF($P602="High",$T602,IF($P602="Mix",SUMIF('High_Low Voltage Mix Summary'!$B$10:$B$17,#REF!,'High_Low Voltage Mix Summary'!$F$10:$F$17),""))</f>
        <v/>
      </c>
      <c r="Y602" s="44" t="str">
        <f>IF($P602="Low",$T602,IF($P602="Mix",SUMIF('High_Low Voltage Mix Summary'!$B$10:$B$17,#REF!,'High_Low Voltage Mix Summary'!$G$10:$G$17),""))</f>
        <v/>
      </c>
      <c r="Z602" s="44" t="str">
        <f>IF(OR($P602="High",$P602="Low"),"",IF($P602="Mix",SUMIF('High_Low Voltage Mix Summary'!$B$10:$B$17,#REF!,'High_Low Voltage Mix Summary'!$H$10:$H$17),""))</f>
        <v/>
      </c>
      <c r="AB602" s="49">
        <f>SUMIF('Antelope Bailey Split BA'!$B$7:$B$29,B602,'Antelope Bailey Split BA'!$C$7:$C$29)</f>
        <v>0</v>
      </c>
      <c r="AC602" s="49" t="str">
        <f>IF(AND(AB602=1,'Plant Total by Account'!$H$1=2),"EKWRA","")</f>
        <v/>
      </c>
    </row>
    <row r="603" spans="1:29" x14ac:dyDescent="0.2">
      <c r="A603" s="39" t="s">
        <v>3106</v>
      </c>
      <c r="B603" s="45" t="s">
        <v>724</v>
      </c>
      <c r="C603" s="40" t="s">
        <v>3334</v>
      </c>
      <c r="D603" s="53">
        <v>52169.91</v>
      </c>
      <c r="E603" s="53">
        <v>48956.569999999992</v>
      </c>
      <c r="F603" s="53">
        <v>1950996.3099999991</v>
      </c>
      <c r="G603" s="578">
        <f t="shared" si="83"/>
        <v>2052122.7899999991</v>
      </c>
      <c r="H603" s="41"/>
      <c r="I603" s="41"/>
      <c r="J603" s="41"/>
      <c r="K603" s="41">
        <f t="shared" si="85"/>
        <v>52169.91</v>
      </c>
      <c r="L603" s="41">
        <f t="shared" si="86"/>
        <v>48956.569999999992</v>
      </c>
      <c r="M603" s="41">
        <f t="shared" si="87"/>
        <v>1950996.3099999991</v>
      </c>
      <c r="N603" s="363">
        <f t="shared" si="84"/>
        <v>0</v>
      </c>
      <c r="O603" s="43" t="s">
        <v>3309</v>
      </c>
      <c r="P603" s="43"/>
      <c r="R603" s="41">
        <f t="shared" si="80"/>
        <v>0</v>
      </c>
      <c r="S603" s="41">
        <f t="shared" si="81"/>
        <v>0</v>
      </c>
      <c r="T603" s="41">
        <f t="shared" si="82"/>
        <v>0</v>
      </c>
      <c r="U603" s="41"/>
      <c r="V603" s="44" t="str">
        <f>IF($P603="High",$S603,IF($P603="Mix",SUMIF('High_Low Voltage Mix Summary'!$B$10:$B$17,$B438,'High_Low Voltage Mix Summary'!$D$10:$D$17),""))</f>
        <v/>
      </c>
      <c r="W603" s="44" t="str">
        <f>IF($P603="Low",$S603,IF($P603="Mix",SUMIF('High_Low Voltage Mix Summary'!$B$10:$B$17,$B438,'High_Low Voltage Mix Summary'!$E$10:$E$17),""))</f>
        <v/>
      </c>
      <c r="X603" s="44" t="str">
        <f>IF($P603="High",$T603,IF($P603="Mix",SUMIF('High_Low Voltage Mix Summary'!$B$10:$B$17,$B438,'High_Low Voltage Mix Summary'!$F$10:$F$17),""))</f>
        <v/>
      </c>
      <c r="Y603" s="44" t="str">
        <f>IF($P603="Low",$T603,IF($P603="Mix",SUMIF('High_Low Voltage Mix Summary'!$B$10:$B$17,$B438,'High_Low Voltage Mix Summary'!$G$10:$G$17),""))</f>
        <v/>
      </c>
      <c r="Z603" s="44" t="str">
        <f>IF(OR($P603="High",$P603="Low"),"",IF($P603="Mix",SUMIF('High_Low Voltage Mix Summary'!$B$10:$B$17,$B438,'High_Low Voltage Mix Summary'!$H$10:$H$17),""))</f>
        <v/>
      </c>
      <c r="AB603" s="49">
        <f>SUMIF('Antelope Bailey Split BA'!$B$7:$B$29,B603,'Antelope Bailey Split BA'!$C$7:$C$29)</f>
        <v>0</v>
      </c>
      <c r="AC603" s="49" t="str">
        <f>IF(AND(AB603=1,'Plant Total by Account'!$H$1=2),"EKWRA","")</f>
        <v/>
      </c>
    </row>
    <row r="604" spans="1:29" x14ac:dyDescent="0.2">
      <c r="A604" s="39" t="s">
        <v>3107</v>
      </c>
      <c r="B604" s="45" t="s">
        <v>725</v>
      </c>
      <c r="C604" s="40" t="s">
        <v>3333</v>
      </c>
      <c r="D604" s="53">
        <v>8032.89</v>
      </c>
      <c r="E604" s="53">
        <v>22467.15</v>
      </c>
      <c r="F604" s="53">
        <v>480950.84000000008</v>
      </c>
      <c r="G604" s="578">
        <f t="shared" si="83"/>
        <v>511450.88000000006</v>
      </c>
      <c r="H604" s="41"/>
      <c r="I604" s="41"/>
      <c r="J604" s="41"/>
      <c r="K604" s="41">
        <f t="shared" si="85"/>
        <v>8032.89</v>
      </c>
      <c r="L604" s="41">
        <f t="shared" si="86"/>
        <v>22467.15</v>
      </c>
      <c r="M604" s="41">
        <f t="shared" si="87"/>
        <v>480950.84000000008</v>
      </c>
      <c r="N604" s="363">
        <f t="shared" si="84"/>
        <v>0</v>
      </c>
      <c r="O604" s="43" t="s">
        <v>3309</v>
      </c>
      <c r="P604" s="43"/>
      <c r="R604" s="41">
        <f t="shared" si="80"/>
        <v>0</v>
      </c>
      <c r="S604" s="41">
        <f t="shared" si="81"/>
        <v>0</v>
      </c>
      <c r="T604" s="41">
        <f t="shared" si="82"/>
        <v>0</v>
      </c>
      <c r="U604" s="41"/>
      <c r="V604" s="44" t="str">
        <f>IF($P604="High",$S604,IF($P604="Mix",SUMIF('High_Low Voltage Mix Summary'!$B$10:$B$17,$B439,'High_Low Voltage Mix Summary'!$D$10:$D$17),""))</f>
        <v/>
      </c>
      <c r="W604" s="44" t="str">
        <f>IF($P604="Low",$S604,IF($P604="Mix",SUMIF('High_Low Voltage Mix Summary'!$B$10:$B$17,$B439,'High_Low Voltage Mix Summary'!$E$10:$E$17),""))</f>
        <v/>
      </c>
      <c r="X604" s="44" t="str">
        <f>IF($P604="High",$T604,IF($P604="Mix",SUMIF('High_Low Voltage Mix Summary'!$B$10:$B$17,$B439,'High_Low Voltage Mix Summary'!$F$10:$F$17),""))</f>
        <v/>
      </c>
      <c r="Y604" s="44" t="str">
        <f>IF($P604="Low",$T604,IF($P604="Mix",SUMIF('High_Low Voltage Mix Summary'!$B$10:$B$17,$B439,'High_Low Voltage Mix Summary'!$G$10:$G$17),""))</f>
        <v/>
      </c>
      <c r="Z604" s="44" t="str">
        <f>IF(OR($P604="High",$P604="Low"),"",IF($P604="Mix",SUMIF('High_Low Voltage Mix Summary'!$B$10:$B$17,$B439,'High_Low Voltage Mix Summary'!$H$10:$H$17),""))</f>
        <v/>
      </c>
      <c r="AB604" s="49">
        <f>SUMIF('Antelope Bailey Split BA'!$B$7:$B$29,B604,'Antelope Bailey Split BA'!$C$7:$C$29)</f>
        <v>0</v>
      </c>
      <c r="AC604" s="49" t="str">
        <f>IF(AND(AB604=1,'Plant Total by Account'!$H$1=2),"EKWRA","")</f>
        <v/>
      </c>
    </row>
    <row r="605" spans="1:29" x14ac:dyDescent="0.2">
      <c r="A605" s="39" t="s">
        <v>3108</v>
      </c>
      <c r="B605" s="45" t="s">
        <v>726</v>
      </c>
      <c r="C605" s="40" t="s">
        <v>3334</v>
      </c>
      <c r="D605" s="53">
        <v>1818.22</v>
      </c>
      <c r="E605" s="53">
        <v>217531.36</v>
      </c>
      <c r="F605" s="53">
        <v>7579562.2499999991</v>
      </c>
      <c r="G605" s="578">
        <f t="shared" si="83"/>
        <v>7798911.8299999991</v>
      </c>
      <c r="H605" s="41"/>
      <c r="I605" s="41"/>
      <c r="J605" s="41"/>
      <c r="K605" s="41">
        <f t="shared" si="85"/>
        <v>1818.22</v>
      </c>
      <c r="L605" s="41">
        <f t="shared" si="86"/>
        <v>217531.36</v>
      </c>
      <c r="M605" s="41">
        <f t="shared" si="87"/>
        <v>7579562.2499999991</v>
      </c>
      <c r="N605" s="363">
        <f t="shared" si="84"/>
        <v>0</v>
      </c>
      <c r="O605" s="43" t="s">
        <v>3309</v>
      </c>
      <c r="P605" s="43"/>
      <c r="R605" s="41">
        <f t="shared" si="80"/>
        <v>0</v>
      </c>
      <c r="S605" s="41">
        <f t="shared" si="81"/>
        <v>0</v>
      </c>
      <c r="T605" s="41">
        <f t="shared" si="82"/>
        <v>0</v>
      </c>
      <c r="U605" s="41"/>
      <c r="V605" s="44" t="str">
        <f>IF($P605="High",$S605,IF($P605="Mix",SUMIF('High_Low Voltage Mix Summary'!$B$10:$B$17,#REF!,'High_Low Voltage Mix Summary'!$D$10:$D$17),""))</f>
        <v/>
      </c>
      <c r="W605" s="44" t="str">
        <f>IF($P605="Low",$S605,IF($P605="Mix",SUMIF('High_Low Voltage Mix Summary'!$B$10:$B$17,#REF!,'High_Low Voltage Mix Summary'!$E$10:$E$17),""))</f>
        <v/>
      </c>
      <c r="X605" s="44" t="str">
        <f>IF($P605="High",$T605,IF($P605="Mix",SUMIF('High_Low Voltage Mix Summary'!$B$10:$B$17,#REF!,'High_Low Voltage Mix Summary'!$F$10:$F$17),""))</f>
        <v/>
      </c>
      <c r="Y605" s="44" t="str">
        <f>IF($P605="Low",$T605,IF($P605="Mix",SUMIF('High_Low Voltage Mix Summary'!$B$10:$B$17,#REF!,'High_Low Voltage Mix Summary'!$G$10:$G$17),""))</f>
        <v/>
      </c>
      <c r="Z605" s="44" t="str">
        <f>IF(OR($P605="High",$P605="Low"),"",IF($P605="Mix",SUMIF('High_Low Voltage Mix Summary'!$B$10:$B$17,#REF!,'High_Low Voltage Mix Summary'!$H$10:$H$17),""))</f>
        <v/>
      </c>
      <c r="AB605" s="49">
        <f>SUMIF('Antelope Bailey Split BA'!$B$7:$B$29,B605,'Antelope Bailey Split BA'!$C$7:$C$29)</f>
        <v>0</v>
      </c>
      <c r="AC605" s="49" t="str">
        <f>IF(AND(AB605=1,'Plant Total by Account'!$H$1=2),"EKWRA","")</f>
        <v/>
      </c>
    </row>
    <row r="606" spans="1:29" x14ac:dyDescent="0.2">
      <c r="A606" s="39" t="s">
        <v>3109</v>
      </c>
      <c r="B606" s="45" t="s">
        <v>727</v>
      </c>
      <c r="C606" s="40" t="s">
        <v>3334</v>
      </c>
      <c r="D606" s="53">
        <v>20431.71</v>
      </c>
      <c r="E606" s="53">
        <v>32012.58</v>
      </c>
      <c r="F606" s="53">
        <v>3559586.7200000021</v>
      </c>
      <c r="G606" s="578">
        <f t="shared" si="83"/>
        <v>3612031.0100000021</v>
      </c>
      <c r="H606" s="41"/>
      <c r="I606" s="41"/>
      <c r="J606" s="41"/>
      <c r="K606" s="41">
        <f t="shared" si="85"/>
        <v>20431.71</v>
      </c>
      <c r="L606" s="41">
        <f t="shared" si="86"/>
        <v>32012.58</v>
      </c>
      <c r="M606" s="41">
        <f t="shared" si="87"/>
        <v>3559586.7200000021</v>
      </c>
      <c r="N606" s="363">
        <f t="shared" si="84"/>
        <v>0</v>
      </c>
      <c r="O606" s="43" t="s">
        <v>3309</v>
      </c>
      <c r="P606" s="43"/>
      <c r="R606" s="41">
        <f t="shared" si="80"/>
        <v>0</v>
      </c>
      <c r="S606" s="41">
        <f t="shared" si="81"/>
        <v>0</v>
      </c>
      <c r="T606" s="41">
        <f t="shared" si="82"/>
        <v>0</v>
      </c>
      <c r="U606" s="41"/>
      <c r="V606" s="44" t="str">
        <f>IF($P606="High",$S606,IF($P606="Mix",SUMIF('High_Low Voltage Mix Summary'!$B$10:$B$17,$B440,'High_Low Voltage Mix Summary'!$D$10:$D$17),""))</f>
        <v/>
      </c>
      <c r="W606" s="44" t="str">
        <f>IF($P606="Low",$S606,IF($P606="Mix",SUMIF('High_Low Voltage Mix Summary'!$B$10:$B$17,$B440,'High_Low Voltage Mix Summary'!$E$10:$E$17),""))</f>
        <v/>
      </c>
      <c r="X606" s="44" t="str">
        <f>IF($P606="High",$T606,IF($P606="Mix",SUMIF('High_Low Voltage Mix Summary'!$B$10:$B$17,$B440,'High_Low Voltage Mix Summary'!$F$10:$F$17),""))</f>
        <v/>
      </c>
      <c r="Y606" s="44" t="str">
        <f>IF($P606="Low",$T606,IF($P606="Mix",SUMIF('High_Low Voltage Mix Summary'!$B$10:$B$17,$B440,'High_Low Voltage Mix Summary'!$G$10:$G$17),""))</f>
        <v/>
      </c>
      <c r="Z606" s="44" t="str">
        <f>IF(OR($P606="High",$P606="Low"),"",IF($P606="Mix",SUMIF('High_Low Voltage Mix Summary'!$B$10:$B$17,$B440,'High_Low Voltage Mix Summary'!$H$10:$H$17),""))</f>
        <v/>
      </c>
      <c r="AB606" s="49">
        <f>SUMIF('Antelope Bailey Split BA'!$B$7:$B$29,B606,'Antelope Bailey Split BA'!$C$7:$C$29)</f>
        <v>0</v>
      </c>
      <c r="AC606" s="49" t="str">
        <f>IF(AND(AB606=1,'Plant Total by Account'!$H$1=2),"EKWRA","")</f>
        <v/>
      </c>
    </row>
    <row r="607" spans="1:29" x14ac:dyDescent="0.2">
      <c r="A607" s="39" t="s">
        <v>3110</v>
      </c>
      <c r="B607" s="45" t="s">
        <v>728</v>
      </c>
      <c r="C607" s="40" t="s">
        <v>3334</v>
      </c>
      <c r="D607" s="53">
        <v>19042.07</v>
      </c>
      <c r="E607" s="53">
        <v>29012.82</v>
      </c>
      <c r="F607" s="53">
        <v>2082680.4799999995</v>
      </c>
      <c r="G607" s="578">
        <f t="shared" si="83"/>
        <v>2130735.3699999996</v>
      </c>
      <c r="H607" s="41"/>
      <c r="I607" s="41"/>
      <c r="J607" s="41"/>
      <c r="K607" s="41">
        <f t="shared" si="85"/>
        <v>19042.07</v>
      </c>
      <c r="L607" s="41">
        <f t="shared" si="86"/>
        <v>29012.82</v>
      </c>
      <c r="M607" s="41">
        <f t="shared" si="87"/>
        <v>2082680.4799999995</v>
      </c>
      <c r="N607" s="363">
        <f t="shared" si="84"/>
        <v>0</v>
      </c>
      <c r="O607" s="43" t="s">
        <v>3309</v>
      </c>
      <c r="P607" s="43"/>
      <c r="R607" s="41">
        <f t="shared" si="80"/>
        <v>0</v>
      </c>
      <c r="S607" s="41">
        <f t="shared" si="81"/>
        <v>0</v>
      </c>
      <c r="T607" s="41">
        <f t="shared" si="82"/>
        <v>0</v>
      </c>
      <c r="U607" s="41"/>
      <c r="V607" s="44" t="str">
        <f>IF($P607="High",$S607,IF($P607="Mix",SUMIF('High_Low Voltage Mix Summary'!$B$10:$B$17,$B441,'High_Low Voltage Mix Summary'!$D$10:$D$17),""))</f>
        <v/>
      </c>
      <c r="W607" s="44" t="str">
        <f>IF($P607="Low",$S607,IF($P607="Mix",SUMIF('High_Low Voltage Mix Summary'!$B$10:$B$17,$B441,'High_Low Voltage Mix Summary'!$E$10:$E$17),""))</f>
        <v/>
      </c>
      <c r="X607" s="44" t="str">
        <f>IF($P607="High",$T607,IF($P607="Mix",SUMIF('High_Low Voltage Mix Summary'!$B$10:$B$17,$B441,'High_Low Voltage Mix Summary'!$F$10:$F$17),""))</f>
        <v/>
      </c>
      <c r="Y607" s="44" t="str">
        <f>IF($P607="Low",$T607,IF($P607="Mix",SUMIF('High_Low Voltage Mix Summary'!$B$10:$B$17,$B441,'High_Low Voltage Mix Summary'!$G$10:$G$17),""))</f>
        <v/>
      </c>
      <c r="Z607" s="44" t="str">
        <f>IF(OR($P607="High",$P607="Low"),"",IF($P607="Mix",SUMIF('High_Low Voltage Mix Summary'!$B$10:$B$17,$B441,'High_Low Voltage Mix Summary'!$H$10:$H$17),""))</f>
        <v/>
      </c>
      <c r="AB607" s="49">
        <f>SUMIF('Antelope Bailey Split BA'!$B$7:$B$29,B607,'Antelope Bailey Split BA'!$C$7:$C$29)</f>
        <v>0</v>
      </c>
      <c r="AC607" s="49" t="str">
        <f>IF(AND(AB607=1,'Plant Total by Account'!$H$1=2),"EKWRA","")</f>
        <v/>
      </c>
    </row>
    <row r="608" spans="1:29" x14ac:dyDescent="0.2">
      <c r="A608" s="39" t="s">
        <v>3111</v>
      </c>
      <c r="B608" s="45" t="s">
        <v>729</v>
      </c>
      <c r="C608" s="40" t="s">
        <v>3334</v>
      </c>
      <c r="D608" s="53">
        <v>0</v>
      </c>
      <c r="E608" s="53">
        <v>0</v>
      </c>
      <c r="F608" s="53">
        <v>75.02</v>
      </c>
      <c r="G608" s="578">
        <f t="shared" si="83"/>
        <v>75.02</v>
      </c>
      <c r="H608" s="41"/>
      <c r="I608" s="41"/>
      <c r="J608" s="41"/>
      <c r="K608" s="41">
        <f t="shared" si="85"/>
        <v>0</v>
      </c>
      <c r="L608" s="41">
        <f t="shared" si="86"/>
        <v>0</v>
      </c>
      <c r="M608" s="41">
        <f t="shared" si="87"/>
        <v>75.02</v>
      </c>
      <c r="N608" s="363">
        <f t="shared" si="84"/>
        <v>0</v>
      </c>
      <c r="O608" s="43" t="s">
        <v>3309</v>
      </c>
      <c r="P608" s="43"/>
      <c r="R608" s="41">
        <f t="shared" si="80"/>
        <v>0</v>
      </c>
      <c r="S608" s="41">
        <f t="shared" si="81"/>
        <v>0</v>
      </c>
      <c r="T608" s="41">
        <f t="shared" si="82"/>
        <v>0</v>
      </c>
      <c r="U608" s="41"/>
      <c r="V608" s="44" t="str">
        <f>IF($P608="High",$S608,IF($P608="Mix",SUMIF('High_Low Voltage Mix Summary'!$B$10:$B$17,$B442,'High_Low Voltage Mix Summary'!$D$10:$D$17),""))</f>
        <v/>
      </c>
      <c r="W608" s="44" t="str">
        <f>IF($P608="Low",$S608,IF($P608="Mix",SUMIF('High_Low Voltage Mix Summary'!$B$10:$B$17,$B442,'High_Low Voltage Mix Summary'!$E$10:$E$17),""))</f>
        <v/>
      </c>
      <c r="X608" s="44" t="str">
        <f>IF($P608="High",$T608,IF($P608="Mix",SUMIF('High_Low Voltage Mix Summary'!$B$10:$B$17,$B442,'High_Low Voltage Mix Summary'!$F$10:$F$17),""))</f>
        <v/>
      </c>
      <c r="Y608" s="44" t="str">
        <f>IF($P608="Low",$T608,IF($P608="Mix",SUMIF('High_Low Voltage Mix Summary'!$B$10:$B$17,$B442,'High_Low Voltage Mix Summary'!$G$10:$G$17),""))</f>
        <v/>
      </c>
      <c r="Z608" s="44" t="str">
        <f>IF(OR($P608="High",$P608="Low"),"",IF($P608="Mix",SUMIF('High_Low Voltage Mix Summary'!$B$10:$B$17,$B442,'High_Low Voltage Mix Summary'!$H$10:$H$17),""))</f>
        <v/>
      </c>
      <c r="AB608" s="49">
        <f>SUMIF('Antelope Bailey Split BA'!$B$7:$B$29,B608,'Antelope Bailey Split BA'!$C$7:$C$29)</f>
        <v>0</v>
      </c>
      <c r="AC608" s="49" t="str">
        <f>IF(AND(AB608=1,'Plant Total by Account'!$H$1=2),"EKWRA","")</f>
        <v/>
      </c>
    </row>
    <row r="609" spans="1:29" x14ac:dyDescent="0.2">
      <c r="A609" s="39" t="s">
        <v>3112</v>
      </c>
      <c r="B609" s="45" t="s">
        <v>730</v>
      </c>
      <c r="C609" s="40" t="s">
        <v>3334</v>
      </c>
      <c r="D609" s="53">
        <v>11052.84</v>
      </c>
      <c r="E609" s="53">
        <v>331210.49000000011</v>
      </c>
      <c r="F609" s="53">
        <v>5823045.5299999947</v>
      </c>
      <c r="G609" s="578">
        <f t="shared" si="83"/>
        <v>6165308.8599999947</v>
      </c>
      <c r="H609" s="41"/>
      <c r="I609" s="41"/>
      <c r="J609" s="41"/>
      <c r="K609" s="41">
        <f t="shared" si="85"/>
        <v>11052.84</v>
      </c>
      <c r="L609" s="41">
        <f t="shared" si="86"/>
        <v>331210.49000000011</v>
      </c>
      <c r="M609" s="41">
        <f t="shared" si="87"/>
        <v>5823045.5299999947</v>
      </c>
      <c r="N609" s="363">
        <f t="shared" si="84"/>
        <v>0</v>
      </c>
      <c r="O609" s="43" t="s">
        <v>3309</v>
      </c>
      <c r="P609" s="43"/>
      <c r="R609" s="41">
        <f t="shared" si="80"/>
        <v>0</v>
      </c>
      <c r="S609" s="41">
        <f t="shared" si="81"/>
        <v>0</v>
      </c>
      <c r="T609" s="41">
        <f t="shared" si="82"/>
        <v>0</v>
      </c>
      <c r="U609" s="41"/>
      <c r="V609" s="44" t="str">
        <f>IF($P609="High",$S609,IF($P609="Mix",SUMIF('High_Low Voltage Mix Summary'!$B$10:$B$17,$B443,'High_Low Voltage Mix Summary'!$D$10:$D$17),""))</f>
        <v/>
      </c>
      <c r="W609" s="44" t="str">
        <f>IF($P609="Low",$S609,IF($P609="Mix",SUMIF('High_Low Voltage Mix Summary'!$B$10:$B$17,$B443,'High_Low Voltage Mix Summary'!$E$10:$E$17),""))</f>
        <v/>
      </c>
      <c r="X609" s="44" t="str">
        <f>IF($P609="High",$T609,IF($P609="Mix",SUMIF('High_Low Voltage Mix Summary'!$B$10:$B$17,$B443,'High_Low Voltage Mix Summary'!$F$10:$F$17),""))</f>
        <v/>
      </c>
      <c r="Y609" s="44" t="str">
        <f>IF($P609="Low",$T609,IF($P609="Mix",SUMIF('High_Low Voltage Mix Summary'!$B$10:$B$17,$B443,'High_Low Voltage Mix Summary'!$G$10:$G$17),""))</f>
        <v/>
      </c>
      <c r="Z609" s="44" t="str">
        <f>IF(OR($P609="High",$P609="Low"),"",IF($P609="Mix",SUMIF('High_Low Voltage Mix Summary'!$B$10:$B$17,$B443,'High_Low Voltage Mix Summary'!$H$10:$H$17),""))</f>
        <v/>
      </c>
      <c r="AB609" s="49">
        <f>SUMIF('Antelope Bailey Split BA'!$B$7:$B$29,B609,'Antelope Bailey Split BA'!$C$7:$C$29)</f>
        <v>0</v>
      </c>
      <c r="AC609" s="49" t="str">
        <f>IF(AND(AB609=1,'Plant Total by Account'!$H$1=2),"EKWRA","")</f>
        <v/>
      </c>
    </row>
    <row r="610" spans="1:29" x14ac:dyDescent="0.2">
      <c r="A610" s="39" t="s">
        <v>3113</v>
      </c>
      <c r="B610" s="45" t="s">
        <v>731</v>
      </c>
      <c r="C610" s="40" t="s">
        <v>3334</v>
      </c>
      <c r="D610" s="53">
        <v>183449.09</v>
      </c>
      <c r="E610" s="53">
        <v>203209.93</v>
      </c>
      <c r="F610" s="53">
        <v>2869604.0900000003</v>
      </c>
      <c r="G610" s="578">
        <f t="shared" si="83"/>
        <v>3256263.1100000003</v>
      </c>
      <c r="H610" s="41"/>
      <c r="I610" s="41"/>
      <c r="J610" s="41"/>
      <c r="K610" s="41">
        <f t="shared" si="85"/>
        <v>183449.09</v>
      </c>
      <c r="L610" s="41">
        <f t="shared" si="86"/>
        <v>203209.93</v>
      </c>
      <c r="M610" s="41">
        <f t="shared" si="87"/>
        <v>2869604.0900000003</v>
      </c>
      <c r="N610" s="363">
        <f t="shared" si="84"/>
        <v>0</v>
      </c>
      <c r="O610" s="43" t="s">
        <v>3309</v>
      </c>
      <c r="P610" s="43"/>
      <c r="R610" s="41">
        <f t="shared" si="80"/>
        <v>0</v>
      </c>
      <c r="S610" s="41">
        <f t="shared" si="81"/>
        <v>0</v>
      </c>
      <c r="T610" s="41">
        <f t="shared" si="82"/>
        <v>0</v>
      </c>
      <c r="U610" s="41"/>
      <c r="V610" s="44" t="str">
        <f>IF($P610="High",$S610,IF($P610="Mix",SUMIF('High_Low Voltage Mix Summary'!$B$10:$B$17,$B444,'High_Low Voltage Mix Summary'!$D$10:$D$17),""))</f>
        <v/>
      </c>
      <c r="W610" s="44" t="str">
        <f>IF($P610="Low",$S610,IF($P610="Mix",SUMIF('High_Low Voltage Mix Summary'!$B$10:$B$17,$B444,'High_Low Voltage Mix Summary'!$E$10:$E$17),""))</f>
        <v/>
      </c>
      <c r="X610" s="44" t="str">
        <f>IF($P610="High",$T610,IF($P610="Mix",SUMIF('High_Low Voltage Mix Summary'!$B$10:$B$17,$B444,'High_Low Voltage Mix Summary'!$F$10:$F$17),""))</f>
        <v/>
      </c>
      <c r="Y610" s="44" t="str">
        <f>IF($P610="Low",$T610,IF($P610="Mix",SUMIF('High_Low Voltage Mix Summary'!$B$10:$B$17,$B444,'High_Low Voltage Mix Summary'!$G$10:$G$17),""))</f>
        <v/>
      </c>
      <c r="Z610" s="44" t="str">
        <f>IF(OR($P610="High",$P610="Low"),"",IF($P610="Mix",SUMIF('High_Low Voltage Mix Summary'!$B$10:$B$17,$B444,'High_Low Voltage Mix Summary'!$H$10:$H$17),""))</f>
        <v/>
      </c>
      <c r="AB610" s="49">
        <f>SUMIF('Antelope Bailey Split BA'!$B$7:$B$29,B610,'Antelope Bailey Split BA'!$C$7:$C$29)</f>
        <v>0</v>
      </c>
      <c r="AC610" s="49" t="str">
        <f>IF(AND(AB610=1,'Plant Total by Account'!$H$1=2),"EKWRA","")</f>
        <v/>
      </c>
    </row>
    <row r="611" spans="1:29" x14ac:dyDescent="0.2">
      <c r="A611" s="39" t="s">
        <v>2463</v>
      </c>
      <c r="B611" s="45" t="s">
        <v>732</v>
      </c>
      <c r="C611" s="40" t="s">
        <v>3334</v>
      </c>
      <c r="D611" s="53">
        <v>1978.24</v>
      </c>
      <c r="E611" s="53">
        <v>156049.66999999998</v>
      </c>
      <c r="F611" s="53">
        <v>2075575.4300000011</v>
      </c>
      <c r="G611" s="578">
        <f t="shared" si="83"/>
        <v>2233603.3400000012</v>
      </c>
      <c r="H611" s="41"/>
      <c r="I611" s="41"/>
      <c r="J611" s="41"/>
      <c r="K611" s="41">
        <f t="shared" si="85"/>
        <v>1978.24</v>
      </c>
      <c r="L611" s="41">
        <f t="shared" si="86"/>
        <v>156049.66999999998</v>
      </c>
      <c r="M611" s="41">
        <f t="shared" si="87"/>
        <v>2075575.4300000011</v>
      </c>
      <c r="N611" s="363">
        <f t="shared" si="84"/>
        <v>0</v>
      </c>
      <c r="O611" s="43" t="s">
        <v>3309</v>
      </c>
      <c r="P611" s="43"/>
      <c r="R611" s="41">
        <f t="shared" si="80"/>
        <v>0</v>
      </c>
      <c r="S611" s="41">
        <f t="shared" si="81"/>
        <v>0</v>
      </c>
      <c r="T611" s="41">
        <f t="shared" si="82"/>
        <v>0</v>
      </c>
      <c r="U611" s="41"/>
      <c r="V611" s="44" t="str">
        <f>IF($P611="High",$S611,IF($P611="Mix",SUMIF('High_Low Voltage Mix Summary'!$B$10:$B$17,$B445,'High_Low Voltage Mix Summary'!$D$10:$D$17),""))</f>
        <v/>
      </c>
      <c r="W611" s="44" t="str">
        <f>IF($P611="Low",$S611,IF($P611="Mix",SUMIF('High_Low Voltage Mix Summary'!$B$10:$B$17,$B445,'High_Low Voltage Mix Summary'!$E$10:$E$17),""))</f>
        <v/>
      </c>
      <c r="X611" s="44" t="str">
        <f>IF($P611="High",$T611,IF($P611="Mix",SUMIF('High_Low Voltage Mix Summary'!$B$10:$B$17,$B445,'High_Low Voltage Mix Summary'!$F$10:$F$17),""))</f>
        <v/>
      </c>
      <c r="Y611" s="44" t="str">
        <f>IF($P611="Low",$T611,IF($P611="Mix",SUMIF('High_Low Voltage Mix Summary'!$B$10:$B$17,$B445,'High_Low Voltage Mix Summary'!$G$10:$G$17),""))</f>
        <v/>
      </c>
      <c r="Z611" s="44" t="str">
        <f>IF(OR($P611="High",$P611="Low"),"",IF($P611="Mix",SUMIF('High_Low Voltage Mix Summary'!$B$10:$B$17,$B445,'High_Low Voltage Mix Summary'!$H$10:$H$17),""))</f>
        <v/>
      </c>
      <c r="AB611" s="49">
        <f>SUMIF('Antelope Bailey Split BA'!$B$7:$B$29,B611,'Antelope Bailey Split BA'!$C$7:$C$29)</f>
        <v>0</v>
      </c>
      <c r="AC611" s="49" t="str">
        <f>IF(AND(AB611=1,'Plant Total by Account'!$H$1=2),"EKWRA","")</f>
        <v/>
      </c>
    </row>
    <row r="612" spans="1:29" x14ac:dyDescent="0.2">
      <c r="A612" s="39" t="s">
        <v>3114</v>
      </c>
      <c r="B612" s="45" t="s">
        <v>733</v>
      </c>
      <c r="C612" s="40" t="s">
        <v>3334</v>
      </c>
      <c r="D612" s="53">
        <v>2643.32</v>
      </c>
      <c r="E612" s="53">
        <v>326159.12</v>
      </c>
      <c r="F612" s="53">
        <v>9572923.1399999987</v>
      </c>
      <c r="G612" s="578">
        <f t="shared" si="83"/>
        <v>9901725.5799999982</v>
      </c>
      <c r="H612" s="41"/>
      <c r="I612" s="41"/>
      <c r="J612" s="41"/>
      <c r="K612" s="41">
        <f t="shared" si="85"/>
        <v>2643.32</v>
      </c>
      <c r="L612" s="41">
        <f t="shared" si="86"/>
        <v>326159.12</v>
      </c>
      <c r="M612" s="41">
        <f t="shared" si="87"/>
        <v>9572923.1399999987</v>
      </c>
      <c r="N612" s="363">
        <f t="shared" si="84"/>
        <v>0</v>
      </c>
      <c r="O612" s="43" t="s">
        <v>3309</v>
      </c>
      <c r="P612" s="43"/>
      <c r="R612" s="41">
        <f t="shared" si="80"/>
        <v>0</v>
      </c>
      <c r="S612" s="41">
        <f t="shared" si="81"/>
        <v>0</v>
      </c>
      <c r="T612" s="41">
        <f t="shared" si="82"/>
        <v>0</v>
      </c>
      <c r="U612" s="41"/>
      <c r="V612" s="44" t="str">
        <f>IF($P612="High",$S612,IF($P612="Mix",SUMIF('High_Low Voltage Mix Summary'!$B$10:$B$17,$B446,'High_Low Voltage Mix Summary'!$D$10:$D$17),""))</f>
        <v/>
      </c>
      <c r="W612" s="44" t="str">
        <f>IF($P612="Low",$S612,IF($P612="Mix",SUMIF('High_Low Voltage Mix Summary'!$B$10:$B$17,$B446,'High_Low Voltage Mix Summary'!$E$10:$E$17),""))</f>
        <v/>
      </c>
      <c r="X612" s="44" t="str">
        <f>IF($P612="High",$T612,IF($P612="Mix",SUMIF('High_Low Voltage Mix Summary'!$B$10:$B$17,$B446,'High_Low Voltage Mix Summary'!$F$10:$F$17),""))</f>
        <v/>
      </c>
      <c r="Y612" s="44" t="str">
        <f>IF($P612="Low",$T612,IF($P612="Mix",SUMIF('High_Low Voltage Mix Summary'!$B$10:$B$17,$B446,'High_Low Voltage Mix Summary'!$G$10:$G$17),""))</f>
        <v/>
      </c>
      <c r="Z612" s="44" t="str">
        <f>IF(OR($P612="High",$P612="Low"),"",IF($P612="Mix",SUMIF('High_Low Voltage Mix Summary'!$B$10:$B$17,$B446,'High_Low Voltage Mix Summary'!$H$10:$H$17),""))</f>
        <v/>
      </c>
      <c r="AB612" s="49">
        <f>SUMIF('Antelope Bailey Split BA'!$B$7:$B$29,B612,'Antelope Bailey Split BA'!$C$7:$C$29)</f>
        <v>0</v>
      </c>
      <c r="AC612" s="49" t="str">
        <f>IF(AND(AB612=1,'Plant Total by Account'!$H$1=2),"EKWRA","")</f>
        <v/>
      </c>
    </row>
    <row r="613" spans="1:29" x14ac:dyDescent="0.2">
      <c r="A613" s="39" t="s">
        <v>3115</v>
      </c>
      <c r="B613" s="45" t="s">
        <v>734</v>
      </c>
      <c r="C613" s="40" t="s">
        <v>3334</v>
      </c>
      <c r="D613" s="53">
        <v>0</v>
      </c>
      <c r="E613" s="53">
        <v>14413.470000000001</v>
      </c>
      <c r="F613" s="53">
        <v>135771.34</v>
      </c>
      <c r="G613" s="578">
        <f t="shared" si="83"/>
        <v>150184.81</v>
      </c>
      <c r="H613" s="41"/>
      <c r="I613" s="41"/>
      <c r="J613" s="41"/>
      <c r="K613" s="41">
        <f t="shared" si="85"/>
        <v>0</v>
      </c>
      <c r="L613" s="41">
        <f t="shared" si="86"/>
        <v>14413.470000000001</v>
      </c>
      <c r="M613" s="41">
        <f t="shared" si="87"/>
        <v>135771.34</v>
      </c>
      <c r="N613" s="363">
        <f t="shared" si="84"/>
        <v>0</v>
      </c>
      <c r="O613" s="43" t="s">
        <v>3309</v>
      </c>
      <c r="P613" s="43"/>
      <c r="R613" s="41">
        <f t="shared" si="80"/>
        <v>0</v>
      </c>
      <c r="S613" s="41">
        <f t="shared" si="81"/>
        <v>0</v>
      </c>
      <c r="T613" s="41">
        <f t="shared" si="82"/>
        <v>0</v>
      </c>
      <c r="U613" s="41"/>
      <c r="V613" s="44" t="str">
        <f>IF($P613="High",$S613,IF($P613="Mix",SUMIF('High_Low Voltage Mix Summary'!$B$10:$B$17,$B447,'High_Low Voltage Mix Summary'!$D$10:$D$17),""))</f>
        <v/>
      </c>
      <c r="W613" s="44" t="str">
        <f>IF($P613="Low",$S613,IF($P613="Mix",SUMIF('High_Low Voltage Mix Summary'!$B$10:$B$17,$B447,'High_Low Voltage Mix Summary'!$E$10:$E$17),""))</f>
        <v/>
      </c>
      <c r="X613" s="44" t="str">
        <f>IF($P613="High",$T613,IF($P613="Mix",SUMIF('High_Low Voltage Mix Summary'!$B$10:$B$17,$B447,'High_Low Voltage Mix Summary'!$F$10:$F$17),""))</f>
        <v/>
      </c>
      <c r="Y613" s="44" t="str">
        <f>IF($P613="Low",$T613,IF($P613="Mix",SUMIF('High_Low Voltage Mix Summary'!$B$10:$B$17,$B447,'High_Low Voltage Mix Summary'!$G$10:$G$17),""))</f>
        <v/>
      </c>
      <c r="Z613" s="44" t="str">
        <f>IF(OR($P613="High",$P613="Low"),"",IF($P613="Mix",SUMIF('High_Low Voltage Mix Summary'!$B$10:$B$17,$B447,'High_Low Voltage Mix Summary'!$H$10:$H$17),""))</f>
        <v/>
      </c>
      <c r="AB613" s="49">
        <f>SUMIF('Antelope Bailey Split BA'!$B$7:$B$29,B613,'Antelope Bailey Split BA'!$C$7:$C$29)</f>
        <v>0</v>
      </c>
      <c r="AC613" s="49" t="str">
        <f>IF(AND(AB613=1,'Plant Total by Account'!$H$1=2),"EKWRA","")</f>
        <v/>
      </c>
    </row>
    <row r="614" spans="1:29" x14ac:dyDescent="0.2">
      <c r="A614" s="39" t="s">
        <v>2464</v>
      </c>
      <c r="B614" s="45" t="s">
        <v>735</v>
      </c>
      <c r="C614" s="40" t="s">
        <v>3334</v>
      </c>
      <c r="D614" s="53">
        <v>916.07</v>
      </c>
      <c r="E614" s="53">
        <v>281913.49</v>
      </c>
      <c r="F614" s="53">
        <v>2306476.4299999997</v>
      </c>
      <c r="G614" s="578">
        <f t="shared" si="83"/>
        <v>2589305.9899999998</v>
      </c>
      <c r="H614" s="41"/>
      <c r="I614" s="41"/>
      <c r="J614" s="41"/>
      <c r="K614" s="41">
        <f t="shared" si="85"/>
        <v>916.07</v>
      </c>
      <c r="L614" s="41">
        <f t="shared" si="86"/>
        <v>281913.49</v>
      </c>
      <c r="M614" s="41">
        <f t="shared" si="87"/>
        <v>2306476.4299999997</v>
      </c>
      <c r="N614" s="363">
        <f t="shared" si="84"/>
        <v>0</v>
      </c>
      <c r="O614" s="43" t="s">
        <v>3309</v>
      </c>
      <c r="P614" s="43"/>
      <c r="R614" s="41">
        <f t="shared" si="80"/>
        <v>0</v>
      </c>
      <c r="S614" s="41">
        <f t="shared" si="81"/>
        <v>0</v>
      </c>
      <c r="T614" s="41">
        <f t="shared" si="82"/>
        <v>0</v>
      </c>
      <c r="U614" s="41"/>
      <c r="V614" s="44" t="str">
        <f>IF($P614="High",$S614,IF($P614="Mix",SUMIF('High_Low Voltage Mix Summary'!$B$10:$B$17,$B448,'High_Low Voltage Mix Summary'!$D$10:$D$17),""))</f>
        <v/>
      </c>
      <c r="W614" s="44" t="str">
        <f>IF($P614="Low",$S614,IF($P614="Mix",SUMIF('High_Low Voltage Mix Summary'!$B$10:$B$17,$B448,'High_Low Voltage Mix Summary'!$E$10:$E$17),""))</f>
        <v/>
      </c>
      <c r="X614" s="44" t="str">
        <f>IF($P614="High",$T614,IF($P614="Mix",SUMIF('High_Low Voltage Mix Summary'!$B$10:$B$17,$B448,'High_Low Voltage Mix Summary'!$F$10:$F$17),""))</f>
        <v/>
      </c>
      <c r="Y614" s="44" t="str">
        <f>IF($P614="Low",$T614,IF($P614="Mix",SUMIF('High_Low Voltage Mix Summary'!$B$10:$B$17,$B448,'High_Low Voltage Mix Summary'!$G$10:$G$17),""))</f>
        <v/>
      </c>
      <c r="Z614" s="44" t="str">
        <f>IF(OR($P614="High",$P614="Low"),"",IF($P614="Mix",SUMIF('High_Low Voltage Mix Summary'!$B$10:$B$17,$B448,'High_Low Voltage Mix Summary'!$H$10:$H$17),""))</f>
        <v/>
      </c>
      <c r="AB614" s="49">
        <f>SUMIF('Antelope Bailey Split BA'!$B$7:$B$29,B614,'Antelope Bailey Split BA'!$C$7:$C$29)</f>
        <v>0</v>
      </c>
      <c r="AC614" s="49" t="str">
        <f>IF(AND(AB614=1,'Plant Total by Account'!$H$1=2),"EKWRA","")</f>
        <v/>
      </c>
    </row>
    <row r="615" spans="1:29" x14ac:dyDescent="0.2">
      <c r="A615" s="39" t="s">
        <v>3116</v>
      </c>
      <c r="B615" s="45" t="s">
        <v>736</v>
      </c>
      <c r="C615" s="40" t="s">
        <v>3334</v>
      </c>
      <c r="D615" s="53">
        <v>42323.72</v>
      </c>
      <c r="E615" s="53">
        <v>67547.22</v>
      </c>
      <c r="F615" s="53">
        <v>3686406.7600000026</v>
      </c>
      <c r="G615" s="578">
        <f t="shared" si="83"/>
        <v>3796277.7000000025</v>
      </c>
      <c r="H615" s="41"/>
      <c r="I615" s="41"/>
      <c r="J615" s="41"/>
      <c r="K615" s="41">
        <f t="shared" si="85"/>
        <v>42323.72</v>
      </c>
      <c r="L615" s="41">
        <f t="shared" si="86"/>
        <v>67547.22</v>
      </c>
      <c r="M615" s="41">
        <f t="shared" si="87"/>
        <v>3686406.7600000026</v>
      </c>
      <c r="N615" s="363">
        <f t="shared" si="84"/>
        <v>0</v>
      </c>
      <c r="O615" s="43" t="s">
        <v>3309</v>
      </c>
      <c r="P615" s="43"/>
      <c r="R615" s="41">
        <f t="shared" si="80"/>
        <v>0</v>
      </c>
      <c r="S615" s="41">
        <f t="shared" si="81"/>
        <v>0</v>
      </c>
      <c r="T615" s="41">
        <f t="shared" si="82"/>
        <v>0</v>
      </c>
      <c r="U615" s="41"/>
      <c r="V615" s="44" t="str">
        <f>IF($P615="High",$S615,IF($P615="Mix",SUMIF('High_Low Voltage Mix Summary'!$B$10:$B$17,$B449,'High_Low Voltage Mix Summary'!$D$10:$D$17),""))</f>
        <v/>
      </c>
      <c r="W615" s="44" t="str">
        <f>IF($P615="Low",$S615,IF($P615="Mix",SUMIF('High_Low Voltage Mix Summary'!$B$10:$B$17,$B449,'High_Low Voltage Mix Summary'!$E$10:$E$17),""))</f>
        <v/>
      </c>
      <c r="X615" s="44" t="str">
        <f>IF($P615="High",$T615,IF($P615="Mix",SUMIF('High_Low Voltage Mix Summary'!$B$10:$B$17,$B449,'High_Low Voltage Mix Summary'!$F$10:$F$17),""))</f>
        <v/>
      </c>
      <c r="Y615" s="44" t="str">
        <f>IF($P615="Low",$T615,IF($P615="Mix",SUMIF('High_Low Voltage Mix Summary'!$B$10:$B$17,$B449,'High_Low Voltage Mix Summary'!$G$10:$G$17),""))</f>
        <v/>
      </c>
      <c r="Z615" s="44" t="str">
        <f>IF(OR($P615="High",$P615="Low"),"",IF($P615="Mix",SUMIF('High_Low Voltage Mix Summary'!$B$10:$B$17,$B449,'High_Low Voltage Mix Summary'!$H$10:$H$17),""))</f>
        <v/>
      </c>
      <c r="AB615" s="49">
        <f>SUMIF('Antelope Bailey Split BA'!$B$7:$B$29,B615,'Antelope Bailey Split BA'!$C$7:$C$29)</f>
        <v>0</v>
      </c>
      <c r="AC615" s="49" t="str">
        <f>IF(AND(AB615=1,'Plant Total by Account'!$H$1=2),"EKWRA","")</f>
        <v/>
      </c>
    </row>
    <row r="616" spans="1:29" x14ac:dyDescent="0.2">
      <c r="A616" s="39" t="s">
        <v>3117</v>
      </c>
      <c r="B616" s="45" t="s">
        <v>737</v>
      </c>
      <c r="C616" s="40" t="s">
        <v>3334</v>
      </c>
      <c r="D616" s="53">
        <v>52555.39</v>
      </c>
      <c r="E616" s="53">
        <v>100598.00000000001</v>
      </c>
      <c r="F616" s="53">
        <v>1933292.5400000003</v>
      </c>
      <c r="G616" s="578">
        <f t="shared" si="83"/>
        <v>2086445.9300000002</v>
      </c>
      <c r="H616" s="41"/>
      <c r="I616" s="41"/>
      <c r="J616" s="41"/>
      <c r="K616" s="41">
        <f t="shared" si="85"/>
        <v>52555.39</v>
      </c>
      <c r="L616" s="41">
        <f t="shared" si="86"/>
        <v>100598.00000000001</v>
      </c>
      <c r="M616" s="41">
        <f t="shared" si="87"/>
        <v>1933292.5400000003</v>
      </c>
      <c r="N616" s="363">
        <f t="shared" si="84"/>
        <v>0</v>
      </c>
      <c r="O616" s="43" t="s">
        <v>3309</v>
      </c>
      <c r="P616" s="43"/>
      <c r="R616" s="41">
        <f t="shared" si="80"/>
        <v>0</v>
      </c>
      <c r="S616" s="41">
        <f t="shared" si="81"/>
        <v>0</v>
      </c>
      <c r="T616" s="41">
        <f t="shared" si="82"/>
        <v>0</v>
      </c>
      <c r="U616" s="41"/>
      <c r="V616" s="44" t="str">
        <f>IF($P616="High",$S616,IF($P616="Mix",SUMIF('High_Low Voltage Mix Summary'!$B$10:$B$17,$B450,'High_Low Voltage Mix Summary'!$D$10:$D$17),""))</f>
        <v/>
      </c>
      <c r="W616" s="44" t="str">
        <f>IF($P616="Low",$S616,IF($P616="Mix",SUMIF('High_Low Voltage Mix Summary'!$B$10:$B$17,$B450,'High_Low Voltage Mix Summary'!$E$10:$E$17),""))</f>
        <v/>
      </c>
      <c r="X616" s="44" t="str">
        <f>IF($P616="High",$T616,IF($P616="Mix",SUMIF('High_Low Voltage Mix Summary'!$B$10:$B$17,$B450,'High_Low Voltage Mix Summary'!$F$10:$F$17),""))</f>
        <v/>
      </c>
      <c r="Y616" s="44" t="str">
        <f>IF($P616="Low",$T616,IF($P616="Mix",SUMIF('High_Low Voltage Mix Summary'!$B$10:$B$17,$B450,'High_Low Voltage Mix Summary'!$G$10:$G$17),""))</f>
        <v/>
      </c>
      <c r="Z616" s="44" t="str">
        <f>IF(OR($P616="High",$P616="Low"),"",IF($P616="Mix",SUMIF('High_Low Voltage Mix Summary'!$B$10:$B$17,$B450,'High_Low Voltage Mix Summary'!$H$10:$H$17),""))</f>
        <v/>
      </c>
      <c r="AB616" s="49">
        <f>SUMIF('Antelope Bailey Split BA'!$B$7:$B$29,B616,'Antelope Bailey Split BA'!$C$7:$C$29)</f>
        <v>0</v>
      </c>
      <c r="AC616" s="49" t="str">
        <f>IF(AND(AB616=1,'Plant Total by Account'!$H$1=2),"EKWRA","")</f>
        <v/>
      </c>
    </row>
    <row r="617" spans="1:29" x14ac:dyDescent="0.2">
      <c r="A617" s="39" t="s">
        <v>3118</v>
      </c>
      <c r="B617" s="45" t="s">
        <v>738</v>
      </c>
      <c r="C617" s="40" t="s">
        <v>3334</v>
      </c>
      <c r="D617" s="53">
        <v>77254.350000000006</v>
      </c>
      <c r="E617" s="53">
        <v>78220.78</v>
      </c>
      <c r="F617" s="53">
        <v>5126566.790000001</v>
      </c>
      <c r="G617" s="578">
        <f t="shared" si="83"/>
        <v>5282041.9200000009</v>
      </c>
      <c r="H617" s="41"/>
      <c r="I617" s="41"/>
      <c r="J617" s="41"/>
      <c r="K617" s="41">
        <f t="shared" si="85"/>
        <v>77254.350000000006</v>
      </c>
      <c r="L617" s="41">
        <f t="shared" si="86"/>
        <v>78220.78</v>
      </c>
      <c r="M617" s="41">
        <f t="shared" si="87"/>
        <v>5126566.790000001</v>
      </c>
      <c r="N617" s="363">
        <f t="shared" si="84"/>
        <v>0</v>
      </c>
      <c r="O617" s="43" t="s">
        <v>3309</v>
      </c>
      <c r="P617" s="43"/>
      <c r="R617" s="41">
        <f t="shared" si="80"/>
        <v>0</v>
      </c>
      <c r="S617" s="41">
        <f t="shared" si="81"/>
        <v>0</v>
      </c>
      <c r="T617" s="41">
        <f t="shared" si="82"/>
        <v>0</v>
      </c>
      <c r="U617" s="41"/>
      <c r="V617" s="44" t="str">
        <f>IF($P617="High",$S617,IF($P617="Mix",SUMIF('High_Low Voltage Mix Summary'!$B$10:$B$17,$B451,'High_Low Voltage Mix Summary'!$D$10:$D$17),""))</f>
        <v/>
      </c>
      <c r="W617" s="44" t="str">
        <f>IF($P617="Low",$S617,IF($P617="Mix",SUMIF('High_Low Voltage Mix Summary'!$B$10:$B$17,$B451,'High_Low Voltage Mix Summary'!$E$10:$E$17),""))</f>
        <v/>
      </c>
      <c r="X617" s="44" t="str">
        <f>IF($P617="High",$T617,IF($P617="Mix",SUMIF('High_Low Voltage Mix Summary'!$B$10:$B$17,$B451,'High_Low Voltage Mix Summary'!$F$10:$F$17),""))</f>
        <v/>
      </c>
      <c r="Y617" s="44" t="str">
        <f>IF($P617="Low",$T617,IF($P617="Mix",SUMIF('High_Low Voltage Mix Summary'!$B$10:$B$17,$B451,'High_Low Voltage Mix Summary'!$G$10:$G$17),""))</f>
        <v/>
      </c>
      <c r="Z617" s="44" t="str">
        <f>IF(OR($P617="High",$P617="Low"),"",IF($P617="Mix",SUMIF('High_Low Voltage Mix Summary'!$B$10:$B$17,$B451,'High_Low Voltage Mix Summary'!$H$10:$H$17),""))</f>
        <v/>
      </c>
      <c r="AB617" s="49">
        <f>SUMIF('Antelope Bailey Split BA'!$B$7:$B$29,B617,'Antelope Bailey Split BA'!$C$7:$C$29)</f>
        <v>0</v>
      </c>
      <c r="AC617" s="49" t="str">
        <f>IF(AND(AB617=1,'Plant Total by Account'!$H$1=2),"EKWRA","")</f>
        <v/>
      </c>
    </row>
    <row r="618" spans="1:29" x14ac:dyDescent="0.2">
      <c r="A618" s="39" t="s">
        <v>3119</v>
      </c>
      <c r="B618" s="45" t="s">
        <v>739</v>
      </c>
      <c r="C618" s="40" t="s">
        <v>3334</v>
      </c>
      <c r="D618" s="53">
        <v>20035.87</v>
      </c>
      <c r="E618" s="53">
        <v>155013.84000000005</v>
      </c>
      <c r="F618" s="53">
        <v>5089088.3800000018</v>
      </c>
      <c r="G618" s="578">
        <f t="shared" si="83"/>
        <v>5264138.0900000017</v>
      </c>
      <c r="H618" s="41"/>
      <c r="I618" s="41"/>
      <c r="J618" s="41"/>
      <c r="K618" s="41">
        <f t="shared" si="85"/>
        <v>20035.87</v>
      </c>
      <c r="L618" s="41">
        <f t="shared" si="86"/>
        <v>155013.84000000005</v>
      </c>
      <c r="M618" s="41">
        <f t="shared" si="87"/>
        <v>5089088.3800000018</v>
      </c>
      <c r="N618" s="363">
        <f t="shared" si="84"/>
        <v>0</v>
      </c>
      <c r="O618" s="43" t="s">
        <v>3309</v>
      </c>
      <c r="P618" s="43"/>
      <c r="R618" s="41">
        <f t="shared" si="80"/>
        <v>0</v>
      </c>
      <c r="S618" s="41">
        <f t="shared" si="81"/>
        <v>0</v>
      </c>
      <c r="T618" s="41">
        <f t="shared" si="82"/>
        <v>0</v>
      </c>
      <c r="U618" s="41"/>
      <c r="V618" s="44" t="str">
        <f>IF($P618="High",$S618,IF($P618="Mix",SUMIF('High_Low Voltage Mix Summary'!$B$10:$B$17,$B452,'High_Low Voltage Mix Summary'!$D$10:$D$17),""))</f>
        <v/>
      </c>
      <c r="W618" s="44" t="str">
        <f>IF($P618="Low",$S618,IF($P618="Mix",SUMIF('High_Low Voltage Mix Summary'!$B$10:$B$17,$B452,'High_Low Voltage Mix Summary'!$E$10:$E$17),""))</f>
        <v/>
      </c>
      <c r="X618" s="44" t="str">
        <f>IF($P618="High",$T618,IF($P618="Mix",SUMIF('High_Low Voltage Mix Summary'!$B$10:$B$17,$B452,'High_Low Voltage Mix Summary'!$F$10:$F$17),""))</f>
        <v/>
      </c>
      <c r="Y618" s="44" t="str">
        <f>IF($P618="Low",$T618,IF($P618="Mix",SUMIF('High_Low Voltage Mix Summary'!$B$10:$B$17,$B452,'High_Low Voltage Mix Summary'!$G$10:$G$17),""))</f>
        <v/>
      </c>
      <c r="Z618" s="44" t="str">
        <f>IF(OR($P618="High",$P618="Low"),"",IF($P618="Mix",SUMIF('High_Low Voltage Mix Summary'!$B$10:$B$17,$B452,'High_Low Voltage Mix Summary'!$H$10:$H$17),""))</f>
        <v/>
      </c>
      <c r="AB618" s="49">
        <f>SUMIF('Antelope Bailey Split BA'!$B$7:$B$29,B618,'Antelope Bailey Split BA'!$C$7:$C$29)</f>
        <v>0</v>
      </c>
      <c r="AC618" s="49" t="str">
        <f>IF(AND(AB618=1,'Plant Total by Account'!$H$1=2),"EKWRA","")</f>
        <v/>
      </c>
    </row>
    <row r="619" spans="1:29" x14ac:dyDescent="0.2">
      <c r="A619" s="39" t="s">
        <v>3120</v>
      </c>
      <c r="B619" s="45" t="s">
        <v>740</v>
      </c>
      <c r="C619" s="40" t="s">
        <v>3334</v>
      </c>
      <c r="D619" s="53">
        <v>25204.38</v>
      </c>
      <c r="E619" s="53">
        <v>344347.48000000004</v>
      </c>
      <c r="F619" s="53">
        <v>7454844.830000001</v>
      </c>
      <c r="G619" s="578">
        <f t="shared" si="83"/>
        <v>7824396.6900000013</v>
      </c>
      <c r="H619" s="41"/>
      <c r="I619" s="41"/>
      <c r="J619" s="41"/>
      <c r="K619" s="41">
        <f t="shared" si="85"/>
        <v>25204.38</v>
      </c>
      <c r="L619" s="41">
        <f t="shared" si="86"/>
        <v>344347.48000000004</v>
      </c>
      <c r="M619" s="41">
        <f t="shared" si="87"/>
        <v>7454844.830000001</v>
      </c>
      <c r="N619" s="363">
        <f t="shared" si="84"/>
        <v>0</v>
      </c>
      <c r="O619" s="43" t="s">
        <v>3309</v>
      </c>
      <c r="P619" s="43"/>
      <c r="R619" s="41">
        <f t="shared" si="80"/>
        <v>0</v>
      </c>
      <c r="S619" s="41">
        <f t="shared" si="81"/>
        <v>0</v>
      </c>
      <c r="T619" s="41">
        <f t="shared" si="82"/>
        <v>0</v>
      </c>
      <c r="U619" s="41"/>
      <c r="V619" s="44" t="str">
        <f>IF($P619="High",$S619,IF($P619="Mix",SUMIF('High_Low Voltage Mix Summary'!$B$10:$B$17,$B453,'High_Low Voltage Mix Summary'!$D$10:$D$17),""))</f>
        <v/>
      </c>
      <c r="W619" s="44" t="str">
        <f>IF($P619="Low",$S619,IF($P619="Mix",SUMIF('High_Low Voltage Mix Summary'!$B$10:$B$17,$B453,'High_Low Voltage Mix Summary'!$E$10:$E$17),""))</f>
        <v/>
      </c>
      <c r="X619" s="44" t="str">
        <f>IF($P619="High",$T619,IF($P619="Mix",SUMIF('High_Low Voltage Mix Summary'!$B$10:$B$17,$B453,'High_Low Voltage Mix Summary'!$F$10:$F$17),""))</f>
        <v/>
      </c>
      <c r="Y619" s="44" t="str">
        <f>IF($P619="Low",$T619,IF($P619="Mix",SUMIF('High_Low Voltage Mix Summary'!$B$10:$B$17,$B453,'High_Low Voltage Mix Summary'!$G$10:$G$17),""))</f>
        <v/>
      </c>
      <c r="Z619" s="44" t="str">
        <f>IF(OR($P619="High",$P619="Low"),"",IF($P619="Mix",SUMIF('High_Low Voltage Mix Summary'!$B$10:$B$17,$B453,'High_Low Voltage Mix Summary'!$H$10:$H$17),""))</f>
        <v/>
      </c>
      <c r="AB619" s="49">
        <f>SUMIF('Antelope Bailey Split BA'!$B$7:$B$29,B619,'Antelope Bailey Split BA'!$C$7:$C$29)</f>
        <v>0</v>
      </c>
      <c r="AC619" s="49" t="str">
        <f>IF(AND(AB619=1,'Plant Total by Account'!$H$1=2),"EKWRA","")</f>
        <v/>
      </c>
    </row>
    <row r="620" spans="1:29" x14ac:dyDescent="0.2">
      <c r="A620" s="39" t="s">
        <v>3121</v>
      </c>
      <c r="B620" s="45" t="s">
        <v>741</v>
      </c>
      <c r="C620" s="40" t="s">
        <v>3334</v>
      </c>
      <c r="D620" s="53">
        <v>30474.36</v>
      </c>
      <c r="E620" s="53">
        <v>193416.15</v>
      </c>
      <c r="F620" s="53">
        <v>5900284.3600000003</v>
      </c>
      <c r="G620" s="578">
        <f t="shared" si="83"/>
        <v>6124174.8700000001</v>
      </c>
      <c r="H620" s="41"/>
      <c r="I620" s="41"/>
      <c r="J620" s="41"/>
      <c r="K620" s="41">
        <f t="shared" si="85"/>
        <v>30474.36</v>
      </c>
      <c r="L620" s="41">
        <f t="shared" si="86"/>
        <v>193416.15</v>
      </c>
      <c r="M620" s="41">
        <f t="shared" si="87"/>
        <v>5900284.3600000003</v>
      </c>
      <c r="N620" s="363">
        <f t="shared" si="84"/>
        <v>0</v>
      </c>
      <c r="O620" s="43" t="s">
        <v>3309</v>
      </c>
      <c r="P620" s="43"/>
      <c r="R620" s="41">
        <f t="shared" si="80"/>
        <v>0</v>
      </c>
      <c r="S620" s="41">
        <f t="shared" si="81"/>
        <v>0</v>
      </c>
      <c r="T620" s="41">
        <f t="shared" si="82"/>
        <v>0</v>
      </c>
      <c r="U620" s="41"/>
      <c r="V620" s="44" t="str">
        <f>IF($P620="High",$S620,IF($P620="Mix",SUMIF('High_Low Voltage Mix Summary'!$B$10:$B$17,$B454,'High_Low Voltage Mix Summary'!$D$10:$D$17),""))</f>
        <v/>
      </c>
      <c r="W620" s="44" t="str">
        <f>IF($P620="Low",$S620,IF($P620="Mix",SUMIF('High_Low Voltage Mix Summary'!$B$10:$B$17,$B454,'High_Low Voltage Mix Summary'!$E$10:$E$17),""))</f>
        <v/>
      </c>
      <c r="X620" s="44" t="str">
        <f>IF($P620="High",$T620,IF($P620="Mix",SUMIF('High_Low Voltage Mix Summary'!$B$10:$B$17,$B454,'High_Low Voltage Mix Summary'!$F$10:$F$17),""))</f>
        <v/>
      </c>
      <c r="Y620" s="44" t="str">
        <f>IF($P620="Low",$T620,IF($P620="Mix",SUMIF('High_Low Voltage Mix Summary'!$B$10:$B$17,$B454,'High_Low Voltage Mix Summary'!$G$10:$G$17),""))</f>
        <v/>
      </c>
      <c r="Z620" s="44" t="str">
        <f>IF(OR($P620="High",$P620="Low"),"",IF($P620="Mix",SUMIF('High_Low Voltage Mix Summary'!$B$10:$B$17,$B454,'High_Low Voltage Mix Summary'!$H$10:$H$17),""))</f>
        <v/>
      </c>
      <c r="AB620" s="49">
        <f>SUMIF('Antelope Bailey Split BA'!$B$7:$B$29,B620,'Antelope Bailey Split BA'!$C$7:$C$29)</f>
        <v>0</v>
      </c>
      <c r="AC620" s="49" t="str">
        <f>IF(AND(AB620=1,'Plant Total by Account'!$H$1=2),"EKWRA","")</f>
        <v/>
      </c>
    </row>
    <row r="621" spans="1:29" x14ac:dyDescent="0.2">
      <c r="A621" s="39" t="s">
        <v>3122</v>
      </c>
      <c r="B621" s="45" t="s">
        <v>742</v>
      </c>
      <c r="C621" s="40" t="s">
        <v>3334</v>
      </c>
      <c r="D621" s="53">
        <v>0</v>
      </c>
      <c r="E621" s="53">
        <v>6259.75</v>
      </c>
      <c r="F621" s="53">
        <v>267657.32</v>
      </c>
      <c r="G621" s="578">
        <f t="shared" si="83"/>
        <v>273917.07</v>
      </c>
      <c r="H621" s="41"/>
      <c r="I621" s="41"/>
      <c r="J621" s="41"/>
      <c r="K621" s="41">
        <f t="shared" si="85"/>
        <v>0</v>
      </c>
      <c r="L621" s="41">
        <f t="shared" si="86"/>
        <v>6259.75</v>
      </c>
      <c r="M621" s="41">
        <f t="shared" si="87"/>
        <v>267657.32</v>
      </c>
      <c r="N621" s="363">
        <f t="shared" si="84"/>
        <v>0</v>
      </c>
      <c r="O621" s="43" t="s">
        <v>3309</v>
      </c>
      <c r="P621" s="43"/>
      <c r="R621" s="41">
        <f t="shared" si="80"/>
        <v>0</v>
      </c>
      <c r="S621" s="41">
        <f t="shared" si="81"/>
        <v>0</v>
      </c>
      <c r="T621" s="41">
        <f t="shared" si="82"/>
        <v>0</v>
      </c>
      <c r="U621" s="41"/>
      <c r="V621" s="44" t="str">
        <f>IF($P621="High",$S621,IF($P621="Mix",SUMIF('High_Low Voltage Mix Summary'!$B$10:$B$17,$B455,'High_Low Voltage Mix Summary'!$D$10:$D$17),""))</f>
        <v/>
      </c>
      <c r="W621" s="44" t="str">
        <f>IF($P621="Low",$S621,IF($P621="Mix",SUMIF('High_Low Voltage Mix Summary'!$B$10:$B$17,$B455,'High_Low Voltage Mix Summary'!$E$10:$E$17),""))</f>
        <v/>
      </c>
      <c r="X621" s="44" t="str">
        <f>IF($P621="High",$T621,IF($P621="Mix",SUMIF('High_Low Voltage Mix Summary'!$B$10:$B$17,$B455,'High_Low Voltage Mix Summary'!$F$10:$F$17),""))</f>
        <v/>
      </c>
      <c r="Y621" s="44" t="str">
        <f>IF($P621="Low",$T621,IF($P621="Mix",SUMIF('High_Low Voltage Mix Summary'!$B$10:$B$17,$B455,'High_Low Voltage Mix Summary'!$G$10:$G$17),""))</f>
        <v/>
      </c>
      <c r="Z621" s="44" t="str">
        <f>IF(OR($P621="High",$P621="Low"),"",IF($P621="Mix",SUMIF('High_Low Voltage Mix Summary'!$B$10:$B$17,$B455,'High_Low Voltage Mix Summary'!$H$10:$H$17),""))</f>
        <v/>
      </c>
      <c r="AB621" s="49">
        <f>SUMIF('Antelope Bailey Split BA'!$B$7:$B$29,B621,'Antelope Bailey Split BA'!$C$7:$C$29)</f>
        <v>0</v>
      </c>
      <c r="AC621" s="49" t="str">
        <f>IF(AND(AB621=1,'Plant Total by Account'!$H$1=2),"EKWRA","")</f>
        <v/>
      </c>
    </row>
    <row r="622" spans="1:29" x14ac:dyDescent="0.2">
      <c r="A622" s="39" t="s">
        <v>3123</v>
      </c>
      <c r="B622" s="45" t="s">
        <v>743</v>
      </c>
      <c r="C622" s="40" t="s">
        <v>3334</v>
      </c>
      <c r="D622" s="53">
        <v>0</v>
      </c>
      <c r="E622" s="53">
        <v>466740.98</v>
      </c>
      <c r="F622" s="53">
        <v>0</v>
      </c>
      <c r="G622" s="578">
        <f t="shared" si="83"/>
        <v>466740.98</v>
      </c>
      <c r="H622" s="41"/>
      <c r="I622" s="41"/>
      <c r="J622" s="41"/>
      <c r="K622" s="41">
        <f t="shared" si="85"/>
        <v>0</v>
      </c>
      <c r="L622" s="41">
        <f t="shared" si="86"/>
        <v>466740.98</v>
      </c>
      <c r="M622" s="41">
        <f t="shared" si="87"/>
        <v>0</v>
      </c>
      <c r="N622" s="363">
        <f t="shared" si="84"/>
        <v>0</v>
      </c>
      <c r="O622" s="43" t="s">
        <v>3309</v>
      </c>
      <c r="P622" s="43"/>
      <c r="R622" s="41">
        <f t="shared" si="80"/>
        <v>0</v>
      </c>
      <c r="S622" s="41">
        <f t="shared" si="81"/>
        <v>0</v>
      </c>
      <c r="T622" s="41">
        <f t="shared" si="82"/>
        <v>0</v>
      </c>
      <c r="U622" s="41"/>
      <c r="V622" s="44" t="str">
        <f>IF($P622="High",$S622,IF($P622="Mix",SUMIF('High_Low Voltage Mix Summary'!$B$10:$B$17,$B456,'High_Low Voltage Mix Summary'!$D$10:$D$17),""))</f>
        <v/>
      </c>
      <c r="W622" s="44" t="str">
        <f>IF($P622="Low",$S622,IF($P622="Mix",SUMIF('High_Low Voltage Mix Summary'!$B$10:$B$17,$B456,'High_Low Voltage Mix Summary'!$E$10:$E$17),""))</f>
        <v/>
      </c>
      <c r="X622" s="44" t="str">
        <f>IF($P622="High",$T622,IF($P622="Mix",SUMIF('High_Low Voltage Mix Summary'!$B$10:$B$17,$B456,'High_Low Voltage Mix Summary'!$F$10:$F$17),""))</f>
        <v/>
      </c>
      <c r="Y622" s="44" t="str">
        <f>IF($P622="Low",$T622,IF($P622="Mix",SUMIF('High_Low Voltage Mix Summary'!$B$10:$B$17,$B456,'High_Low Voltage Mix Summary'!$G$10:$G$17),""))</f>
        <v/>
      </c>
      <c r="Z622" s="44" t="str">
        <f>IF(OR($P622="High",$P622="Low"),"",IF($P622="Mix",SUMIF('High_Low Voltage Mix Summary'!$B$10:$B$17,$B456,'High_Low Voltage Mix Summary'!$H$10:$H$17),""))</f>
        <v/>
      </c>
      <c r="AB622" s="49">
        <f>SUMIF('Antelope Bailey Split BA'!$B$7:$B$29,B622,'Antelope Bailey Split BA'!$C$7:$C$29)</f>
        <v>0</v>
      </c>
      <c r="AC622" s="49" t="str">
        <f>IF(AND(AB622=1,'Plant Total by Account'!$H$1=2),"EKWRA","")</f>
        <v/>
      </c>
    </row>
    <row r="623" spans="1:29" x14ac:dyDescent="0.2">
      <c r="A623" s="39" t="s">
        <v>2465</v>
      </c>
      <c r="B623" s="45" t="s">
        <v>744</v>
      </c>
      <c r="C623" s="40" t="s">
        <v>3334</v>
      </c>
      <c r="D623" s="53">
        <v>6908.91</v>
      </c>
      <c r="E623" s="53">
        <v>361409.03999999992</v>
      </c>
      <c r="F623" s="53">
        <v>7469089.6500000013</v>
      </c>
      <c r="G623" s="578">
        <f t="shared" si="83"/>
        <v>7837407.6000000015</v>
      </c>
      <c r="H623" s="41"/>
      <c r="I623" s="41"/>
      <c r="J623" s="41"/>
      <c r="K623" s="41">
        <f t="shared" si="85"/>
        <v>6908.91</v>
      </c>
      <c r="L623" s="41">
        <f t="shared" si="86"/>
        <v>361409.03999999992</v>
      </c>
      <c r="M623" s="41">
        <f t="shared" si="87"/>
        <v>7469089.6500000013</v>
      </c>
      <c r="N623" s="363">
        <f t="shared" si="84"/>
        <v>0</v>
      </c>
      <c r="O623" s="43" t="s">
        <v>3309</v>
      </c>
      <c r="P623" s="43"/>
      <c r="R623" s="41">
        <f t="shared" si="80"/>
        <v>0</v>
      </c>
      <c r="S623" s="41">
        <f t="shared" si="81"/>
        <v>0</v>
      </c>
      <c r="T623" s="41">
        <f t="shared" si="82"/>
        <v>0</v>
      </c>
      <c r="U623" s="41"/>
      <c r="V623" s="44" t="str">
        <f>IF($P623="High",$S623,IF($P623="Mix",SUMIF('High_Low Voltage Mix Summary'!$B$10:$B$17,#REF!,'High_Low Voltage Mix Summary'!$D$10:$D$17),""))</f>
        <v/>
      </c>
      <c r="W623" s="44" t="str">
        <f>IF($P623="Low",$S623,IF($P623="Mix",SUMIF('High_Low Voltage Mix Summary'!$B$10:$B$17,#REF!,'High_Low Voltage Mix Summary'!$E$10:$E$17),""))</f>
        <v/>
      </c>
      <c r="X623" s="44" t="str">
        <f>IF($P623="High",$T623,IF($P623="Mix",SUMIF('High_Low Voltage Mix Summary'!$B$10:$B$17,#REF!,'High_Low Voltage Mix Summary'!$F$10:$F$17),""))</f>
        <v/>
      </c>
      <c r="Y623" s="44" t="str">
        <f>IF($P623="Low",$T623,IF($P623="Mix",SUMIF('High_Low Voltage Mix Summary'!$B$10:$B$17,#REF!,'High_Low Voltage Mix Summary'!$G$10:$G$17),""))</f>
        <v/>
      </c>
      <c r="Z623" s="44" t="str">
        <f>IF(OR($P623="High",$P623="Low"),"",IF($P623="Mix",SUMIF('High_Low Voltage Mix Summary'!$B$10:$B$17,#REF!,'High_Low Voltage Mix Summary'!$H$10:$H$17),""))</f>
        <v/>
      </c>
      <c r="AB623" s="49">
        <f>SUMIF('Antelope Bailey Split BA'!$B$7:$B$29,B623,'Antelope Bailey Split BA'!$C$7:$C$29)</f>
        <v>0</v>
      </c>
      <c r="AC623" s="49" t="str">
        <f>IF(AND(AB623=1,'Plant Total by Account'!$H$1=2),"EKWRA","")</f>
        <v/>
      </c>
    </row>
    <row r="624" spans="1:29" x14ac:dyDescent="0.2">
      <c r="A624" s="39" t="s">
        <v>3124</v>
      </c>
      <c r="B624" s="45" t="s">
        <v>745</v>
      </c>
      <c r="C624" s="40" t="s">
        <v>3334</v>
      </c>
      <c r="D624" s="53">
        <v>91402.090000000011</v>
      </c>
      <c r="E624" s="53">
        <v>127593.23999999999</v>
      </c>
      <c r="F624" s="53">
        <v>4799881.7999999961</v>
      </c>
      <c r="G624" s="578">
        <f t="shared" si="83"/>
        <v>5018877.1299999962</v>
      </c>
      <c r="H624" s="41"/>
      <c r="I624" s="41"/>
      <c r="J624" s="41"/>
      <c r="K624" s="41">
        <f t="shared" si="85"/>
        <v>91402.090000000011</v>
      </c>
      <c r="L624" s="41">
        <f t="shared" si="86"/>
        <v>127593.23999999999</v>
      </c>
      <c r="M624" s="41">
        <f t="shared" si="87"/>
        <v>4799881.7999999961</v>
      </c>
      <c r="N624" s="363">
        <f t="shared" si="84"/>
        <v>0</v>
      </c>
      <c r="O624" s="43" t="s">
        <v>3309</v>
      </c>
      <c r="P624" s="43"/>
      <c r="R624" s="41">
        <f t="shared" si="80"/>
        <v>0</v>
      </c>
      <c r="S624" s="41">
        <f t="shared" si="81"/>
        <v>0</v>
      </c>
      <c r="T624" s="41">
        <f t="shared" si="82"/>
        <v>0</v>
      </c>
      <c r="U624" s="41"/>
      <c r="V624" s="44" t="str">
        <f>IF($P624="High",$S624,IF($P624="Mix",SUMIF('High_Low Voltage Mix Summary'!$B$10:$B$17,$B457,'High_Low Voltage Mix Summary'!$D$10:$D$17),""))</f>
        <v/>
      </c>
      <c r="W624" s="44" t="str">
        <f>IF($P624="Low",$S624,IF($P624="Mix",SUMIF('High_Low Voltage Mix Summary'!$B$10:$B$17,$B457,'High_Low Voltage Mix Summary'!$E$10:$E$17),""))</f>
        <v/>
      </c>
      <c r="X624" s="44" t="str">
        <f>IF($P624="High",$T624,IF($P624="Mix",SUMIF('High_Low Voltage Mix Summary'!$B$10:$B$17,$B457,'High_Low Voltage Mix Summary'!$F$10:$F$17),""))</f>
        <v/>
      </c>
      <c r="Y624" s="44" t="str">
        <f>IF($P624="Low",$T624,IF($P624="Mix",SUMIF('High_Low Voltage Mix Summary'!$B$10:$B$17,$B457,'High_Low Voltage Mix Summary'!$G$10:$G$17),""))</f>
        <v/>
      </c>
      <c r="Z624" s="44" t="str">
        <f>IF(OR($P624="High",$P624="Low"),"",IF($P624="Mix",SUMIF('High_Low Voltage Mix Summary'!$B$10:$B$17,$B457,'High_Low Voltage Mix Summary'!$H$10:$H$17),""))</f>
        <v/>
      </c>
      <c r="AB624" s="49">
        <f>SUMIF('Antelope Bailey Split BA'!$B$7:$B$29,B624,'Antelope Bailey Split BA'!$C$7:$C$29)</f>
        <v>0</v>
      </c>
      <c r="AC624" s="49" t="str">
        <f>IF(AND(AB624=1,'Plant Total by Account'!$H$1=2),"EKWRA","")</f>
        <v/>
      </c>
    </row>
    <row r="625" spans="1:29" x14ac:dyDescent="0.2">
      <c r="A625" s="39" t="s">
        <v>3125</v>
      </c>
      <c r="B625" s="45" t="s">
        <v>746</v>
      </c>
      <c r="C625" s="40" t="s">
        <v>3334</v>
      </c>
      <c r="D625" s="53">
        <v>0</v>
      </c>
      <c r="E625" s="53">
        <v>0</v>
      </c>
      <c r="F625" s="53">
        <v>39287.120000000003</v>
      </c>
      <c r="G625" s="578">
        <f t="shared" si="83"/>
        <v>39287.120000000003</v>
      </c>
      <c r="H625" s="41"/>
      <c r="I625" s="41"/>
      <c r="J625" s="41"/>
      <c r="K625" s="41">
        <f t="shared" si="85"/>
        <v>0</v>
      </c>
      <c r="L625" s="41">
        <f t="shared" si="86"/>
        <v>0</v>
      </c>
      <c r="M625" s="41">
        <f t="shared" si="87"/>
        <v>39287.120000000003</v>
      </c>
      <c r="N625" s="363">
        <f t="shared" si="84"/>
        <v>0</v>
      </c>
      <c r="O625" s="43" t="s">
        <v>3309</v>
      </c>
      <c r="P625" s="43"/>
      <c r="R625" s="41">
        <f t="shared" si="80"/>
        <v>0</v>
      </c>
      <c r="S625" s="41">
        <f t="shared" si="81"/>
        <v>0</v>
      </c>
      <c r="T625" s="41">
        <f t="shared" si="82"/>
        <v>0</v>
      </c>
      <c r="U625" s="41"/>
      <c r="V625" s="44" t="str">
        <f>IF($P625="High",$S625,IF($P625="Mix",SUMIF('High_Low Voltage Mix Summary'!$B$10:$B$17,$B458,'High_Low Voltage Mix Summary'!$D$10:$D$17),""))</f>
        <v/>
      </c>
      <c r="W625" s="44" t="str">
        <f>IF($P625="Low",$S625,IF($P625="Mix",SUMIF('High_Low Voltage Mix Summary'!$B$10:$B$17,$B458,'High_Low Voltage Mix Summary'!$E$10:$E$17),""))</f>
        <v/>
      </c>
      <c r="X625" s="44" t="str">
        <f>IF($P625="High",$T625,IF($P625="Mix",SUMIF('High_Low Voltage Mix Summary'!$B$10:$B$17,$B458,'High_Low Voltage Mix Summary'!$F$10:$F$17),""))</f>
        <v/>
      </c>
      <c r="Y625" s="44" t="str">
        <f>IF($P625="Low",$T625,IF($P625="Mix",SUMIF('High_Low Voltage Mix Summary'!$B$10:$B$17,$B458,'High_Low Voltage Mix Summary'!$G$10:$G$17),""))</f>
        <v/>
      </c>
      <c r="Z625" s="44" t="str">
        <f>IF(OR($P625="High",$P625="Low"),"",IF($P625="Mix",SUMIF('High_Low Voltage Mix Summary'!$B$10:$B$17,$B458,'High_Low Voltage Mix Summary'!$H$10:$H$17),""))</f>
        <v/>
      </c>
      <c r="AB625" s="49">
        <f>SUMIF('Antelope Bailey Split BA'!$B$7:$B$29,B625,'Antelope Bailey Split BA'!$C$7:$C$29)</f>
        <v>0</v>
      </c>
      <c r="AC625" s="49" t="str">
        <f>IF(AND(AB625=1,'Plant Total by Account'!$H$1=2),"EKWRA","")</f>
        <v/>
      </c>
    </row>
    <row r="626" spans="1:29" x14ac:dyDescent="0.2">
      <c r="A626" s="39" t="s">
        <v>3126</v>
      </c>
      <c r="B626" s="45" t="s">
        <v>747</v>
      </c>
      <c r="C626" s="40" t="s">
        <v>3334</v>
      </c>
      <c r="D626" s="53">
        <v>64266.46</v>
      </c>
      <c r="E626" s="53">
        <v>124016.77</v>
      </c>
      <c r="F626" s="53">
        <v>4225406.6700000027</v>
      </c>
      <c r="G626" s="578">
        <f t="shared" si="83"/>
        <v>4413689.9000000032</v>
      </c>
      <c r="H626" s="41"/>
      <c r="I626" s="41"/>
      <c r="J626" s="41"/>
      <c r="K626" s="41">
        <f t="shared" si="85"/>
        <v>64266.46</v>
      </c>
      <c r="L626" s="41">
        <f t="shared" si="86"/>
        <v>124016.77</v>
      </c>
      <c r="M626" s="41">
        <f t="shared" si="87"/>
        <v>4225406.6700000027</v>
      </c>
      <c r="N626" s="363">
        <f t="shared" si="84"/>
        <v>0</v>
      </c>
      <c r="O626" s="43" t="s">
        <v>3309</v>
      </c>
      <c r="P626" s="43"/>
      <c r="R626" s="41">
        <f t="shared" si="80"/>
        <v>0</v>
      </c>
      <c r="S626" s="41">
        <f t="shared" si="81"/>
        <v>0</v>
      </c>
      <c r="T626" s="41">
        <f t="shared" si="82"/>
        <v>0</v>
      </c>
      <c r="U626" s="41"/>
      <c r="V626" s="44" t="str">
        <f>IF($P626="High",$S626,IF($P626="Mix",SUMIF('High_Low Voltage Mix Summary'!$B$10:$B$17,$B459,'High_Low Voltage Mix Summary'!$D$10:$D$17),""))</f>
        <v/>
      </c>
      <c r="W626" s="44" t="str">
        <f>IF($P626="Low",$S626,IF($P626="Mix",SUMIF('High_Low Voltage Mix Summary'!$B$10:$B$17,$B459,'High_Low Voltage Mix Summary'!$E$10:$E$17),""))</f>
        <v/>
      </c>
      <c r="X626" s="44" t="str">
        <f>IF($P626="High",$T626,IF($P626="Mix",SUMIF('High_Low Voltage Mix Summary'!$B$10:$B$17,$B459,'High_Low Voltage Mix Summary'!$F$10:$F$17),""))</f>
        <v/>
      </c>
      <c r="Y626" s="44" t="str">
        <f>IF($P626="Low",$T626,IF($P626="Mix",SUMIF('High_Low Voltage Mix Summary'!$B$10:$B$17,$B459,'High_Low Voltage Mix Summary'!$G$10:$G$17),""))</f>
        <v/>
      </c>
      <c r="Z626" s="44" t="str">
        <f>IF(OR($P626="High",$P626="Low"),"",IF($P626="Mix",SUMIF('High_Low Voltage Mix Summary'!$B$10:$B$17,$B459,'High_Low Voltage Mix Summary'!$H$10:$H$17),""))</f>
        <v/>
      </c>
      <c r="AB626" s="49">
        <f>SUMIF('Antelope Bailey Split BA'!$B$7:$B$29,B626,'Antelope Bailey Split BA'!$C$7:$C$29)</f>
        <v>0</v>
      </c>
      <c r="AC626" s="49" t="str">
        <f>IF(AND(AB626=1,'Plant Total by Account'!$H$1=2),"EKWRA","")</f>
        <v/>
      </c>
    </row>
    <row r="627" spans="1:29" x14ac:dyDescent="0.2">
      <c r="A627" s="39" t="s">
        <v>3127</v>
      </c>
      <c r="B627" s="45" t="s">
        <v>748</v>
      </c>
      <c r="C627" s="40" t="s">
        <v>3334</v>
      </c>
      <c r="D627" s="53">
        <v>503.06</v>
      </c>
      <c r="E627" s="53">
        <v>0</v>
      </c>
      <c r="F627" s="53">
        <v>0</v>
      </c>
      <c r="G627" s="578">
        <f t="shared" si="83"/>
        <v>503.06</v>
      </c>
      <c r="H627" s="41"/>
      <c r="I627" s="41"/>
      <c r="J627" s="41"/>
      <c r="K627" s="41">
        <f t="shared" si="85"/>
        <v>503.06</v>
      </c>
      <c r="L627" s="41">
        <f t="shared" si="86"/>
        <v>0</v>
      </c>
      <c r="M627" s="41">
        <f t="shared" si="87"/>
        <v>0</v>
      </c>
      <c r="N627" s="363">
        <f t="shared" si="84"/>
        <v>0</v>
      </c>
      <c r="O627" s="43" t="s">
        <v>3309</v>
      </c>
      <c r="P627" s="43"/>
      <c r="R627" s="41">
        <f t="shared" si="80"/>
        <v>0</v>
      </c>
      <c r="S627" s="41">
        <f t="shared" si="81"/>
        <v>0</v>
      </c>
      <c r="T627" s="41">
        <f t="shared" si="82"/>
        <v>0</v>
      </c>
      <c r="U627" s="41"/>
      <c r="V627" s="44" t="str">
        <f>IF($P627="High",$S627,IF($P627="Mix",SUMIF('High_Low Voltage Mix Summary'!$B$10:$B$17,$B460,'High_Low Voltage Mix Summary'!$D$10:$D$17),""))</f>
        <v/>
      </c>
      <c r="W627" s="44" t="str">
        <f>IF($P627="Low",$S627,IF($P627="Mix",SUMIF('High_Low Voltage Mix Summary'!$B$10:$B$17,$B460,'High_Low Voltage Mix Summary'!$E$10:$E$17),""))</f>
        <v/>
      </c>
      <c r="X627" s="44" t="str">
        <f>IF($P627="High",$T627,IF($P627="Mix",SUMIF('High_Low Voltage Mix Summary'!$B$10:$B$17,$B460,'High_Low Voltage Mix Summary'!$F$10:$F$17),""))</f>
        <v/>
      </c>
      <c r="Y627" s="44" t="str">
        <f>IF($P627="Low",$T627,IF($P627="Mix",SUMIF('High_Low Voltage Mix Summary'!$B$10:$B$17,$B460,'High_Low Voltage Mix Summary'!$G$10:$G$17),""))</f>
        <v/>
      </c>
      <c r="Z627" s="44" t="str">
        <f>IF(OR($P627="High",$P627="Low"),"",IF($P627="Mix",SUMIF('High_Low Voltage Mix Summary'!$B$10:$B$17,$B460,'High_Low Voltage Mix Summary'!$H$10:$H$17),""))</f>
        <v/>
      </c>
      <c r="AB627" s="49">
        <f>SUMIF('Antelope Bailey Split BA'!$B$7:$B$29,B627,'Antelope Bailey Split BA'!$C$7:$C$29)</f>
        <v>0</v>
      </c>
      <c r="AC627" s="49" t="str">
        <f>IF(AND(AB627=1,'Plant Total by Account'!$H$1=2),"EKWRA","")</f>
        <v/>
      </c>
    </row>
    <row r="628" spans="1:29" x14ac:dyDescent="0.2">
      <c r="A628" s="39" t="s">
        <v>3128</v>
      </c>
      <c r="B628" s="45" t="s">
        <v>749</v>
      </c>
      <c r="C628" s="40" t="s">
        <v>3333</v>
      </c>
      <c r="D628" s="53">
        <v>3355.84</v>
      </c>
      <c r="E628" s="53">
        <v>57301.840000000004</v>
      </c>
      <c r="F628" s="53">
        <v>335968.12</v>
      </c>
      <c r="G628" s="578">
        <f t="shared" si="83"/>
        <v>396625.8</v>
      </c>
      <c r="H628" s="41"/>
      <c r="I628" s="41"/>
      <c r="J628" s="41"/>
      <c r="K628" s="41">
        <f t="shared" si="85"/>
        <v>3355.84</v>
      </c>
      <c r="L628" s="41">
        <f t="shared" si="86"/>
        <v>57301.840000000004</v>
      </c>
      <c r="M628" s="41">
        <f t="shared" si="87"/>
        <v>335968.12</v>
      </c>
      <c r="N628" s="363">
        <f t="shared" si="84"/>
        <v>0</v>
      </c>
      <c r="O628" s="43" t="s">
        <v>3309</v>
      </c>
      <c r="P628" s="43"/>
      <c r="R628" s="41">
        <f t="shared" si="80"/>
        <v>0</v>
      </c>
      <c r="S628" s="41">
        <f t="shared" si="81"/>
        <v>0</v>
      </c>
      <c r="T628" s="41">
        <f t="shared" si="82"/>
        <v>0</v>
      </c>
      <c r="U628" s="41"/>
      <c r="V628" s="44" t="str">
        <f>IF($P628="High",$S628,IF($P628="Mix",SUMIF('High_Low Voltage Mix Summary'!$B$10:$B$17,$B461,'High_Low Voltage Mix Summary'!$D$10:$D$17),""))</f>
        <v/>
      </c>
      <c r="W628" s="44" t="str">
        <f>IF($P628="Low",$S628,IF($P628="Mix",SUMIF('High_Low Voltage Mix Summary'!$B$10:$B$17,$B461,'High_Low Voltage Mix Summary'!$E$10:$E$17),""))</f>
        <v/>
      </c>
      <c r="X628" s="44" t="str">
        <f>IF($P628="High",$T628,IF($P628="Mix",SUMIF('High_Low Voltage Mix Summary'!$B$10:$B$17,$B461,'High_Low Voltage Mix Summary'!$F$10:$F$17),""))</f>
        <v/>
      </c>
      <c r="Y628" s="44" t="str">
        <f>IF($P628="Low",$T628,IF($P628="Mix",SUMIF('High_Low Voltage Mix Summary'!$B$10:$B$17,$B461,'High_Low Voltage Mix Summary'!$G$10:$G$17),""))</f>
        <v/>
      </c>
      <c r="Z628" s="44" t="str">
        <f>IF(OR($P628="High",$P628="Low"),"",IF($P628="Mix",SUMIF('High_Low Voltage Mix Summary'!$B$10:$B$17,$B461,'High_Low Voltage Mix Summary'!$H$10:$H$17),""))</f>
        <v/>
      </c>
      <c r="AB628" s="49">
        <f>SUMIF('Antelope Bailey Split BA'!$B$7:$B$29,B628,'Antelope Bailey Split BA'!$C$7:$C$29)</f>
        <v>0</v>
      </c>
      <c r="AC628" s="49" t="str">
        <f>IF(AND(AB628=1,'Plant Total by Account'!$H$1=2),"EKWRA","")</f>
        <v/>
      </c>
    </row>
    <row r="629" spans="1:29" x14ac:dyDescent="0.2">
      <c r="A629" s="39" t="s">
        <v>3129</v>
      </c>
      <c r="B629" s="45" t="s">
        <v>750</v>
      </c>
      <c r="C629" s="40" t="s">
        <v>3333</v>
      </c>
      <c r="D629" s="53">
        <v>19605.480000000003</v>
      </c>
      <c r="E629" s="53">
        <v>0</v>
      </c>
      <c r="F629" s="53">
        <v>0</v>
      </c>
      <c r="G629" s="578">
        <f t="shared" si="83"/>
        <v>19605.480000000003</v>
      </c>
      <c r="H629" s="41"/>
      <c r="I629" s="41"/>
      <c r="J629" s="41"/>
      <c r="K629" s="41">
        <f t="shared" si="85"/>
        <v>19605.480000000003</v>
      </c>
      <c r="L629" s="41">
        <f t="shared" si="86"/>
        <v>0</v>
      </c>
      <c r="M629" s="41">
        <f t="shared" si="87"/>
        <v>0</v>
      </c>
      <c r="N629" s="363">
        <f t="shared" si="84"/>
        <v>0</v>
      </c>
      <c r="O629" s="43" t="s">
        <v>3309</v>
      </c>
      <c r="P629" s="43"/>
      <c r="R629" s="41">
        <f t="shared" si="80"/>
        <v>0</v>
      </c>
      <c r="S629" s="41">
        <f t="shared" si="81"/>
        <v>0</v>
      </c>
      <c r="T629" s="41">
        <f t="shared" si="82"/>
        <v>0</v>
      </c>
      <c r="U629" s="41"/>
      <c r="V629" s="44" t="str">
        <f>IF($P629="High",$S629,IF($P629="Mix",SUMIF('High_Low Voltage Mix Summary'!$B$10:$B$17,$B462,'High_Low Voltage Mix Summary'!$D$10:$D$17),""))</f>
        <v/>
      </c>
      <c r="W629" s="44" t="str">
        <f>IF($P629="Low",$S629,IF($P629="Mix",SUMIF('High_Low Voltage Mix Summary'!$B$10:$B$17,$B462,'High_Low Voltage Mix Summary'!$E$10:$E$17),""))</f>
        <v/>
      </c>
      <c r="X629" s="44" t="str">
        <f>IF($P629="High",$T629,IF($P629="Mix",SUMIF('High_Low Voltage Mix Summary'!$B$10:$B$17,$B462,'High_Low Voltage Mix Summary'!$F$10:$F$17),""))</f>
        <v/>
      </c>
      <c r="Y629" s="44" t="str">
        <f>IF($P629="Low",$T629,IF($P629="Mix",SUMIF('High_Low Voltage Mix Summary'!$B$10:$B$17,$B462,'High_Low Voltage Mix Summary'!$G$10:$G$17),""))</f>
        <v/>
      </c>
      <c r="Z629" s="44" t="str">
        <f>IF(OR($P629="High",$P629="Low"),"",IF($P629="Mix",SUMIF('High_Low Voltage Mix Summary'!$B$10:$B$17,$B462,'High_Low Voltage Mix Summary'!$H$10:$H$17),""))</f>
        <v/>
      </c>
      <c r="AB629" s="49">
        <f>SUMIF('Antelope Bailey Split BA'!$B$7:$B$29,B629,'Antelope Bailey Split BA'!$C$7:$C$29)</f>
        <v>0</v>
      </c>
      <c r="AC629" s="49" t="str">
        <f>IF(AND(AB629=1,'Plant Total by Account'!$H$1=2),"EKWRA","")</f>
        <v/>
      </c>
    </row>
    <row r="630" spans="1:29" x14ac:dyDescent="0.2">
      <c r="A630" s="39" t="s">
        <v>3130</v>
      </c>
      <c r="B630" s="45" t="s">
        <v>751</v>
      </c>
      <c r="C630" s="40" t="s">
        <v>3334</v>
      </c>
      <c r="D630" s="53">
        <v>26233.02</v>
      </c>
      <c r="E630" s="53">
        <v>115059.97999999998</v>
      </c>
      <c r="F630" s="53">
        <v>5803617.8000000007</v>
      </c>
      <c r="G630" s="578">
        <f t="shared" si="83"/>
        <v>5944910.8000000007</v>
      </c>
      <c r="H630" s="41"/>
      <c r="I630" s="41"/>
      <c r="J630" s="41"/>
      <c r="K630" s="41">
        <f t="shared" si="85"/>
        <v>26233.02</v>
      </c>
      <c r="L630" s="41">
        <f t="shared" si="86"/>
        <v>115059.97999999998</v>
      </c>
      <c r="M630" s="41">
        <f t="shared" si="87"/>
        <v>5803617.8000000007</v>
      </c>
      <c r="N630" s="363">
        <f t="shared" si="84"/>
        <v>0</v>
      </c>
      <c r="O630" s="43" t="s">
        <v>3309</v>
      </c>
      <c r="P630" s="43"/>
      <c r="R630" s="41">
        <f t="shared" si="80"/>
        <v>0</v>
      </c>
      <c r="S630" s="41">
        <f t="shared" si="81"/>
        <v>0</v>
      </c>
      <c r="T630" s="41">
        <f t="shared" si="82"/>
        <v>0</v>
      </c>
      <c r="U630" s="41"/>
      <c r="V630" s="44" t="str">
        <f>IF($P630="High",$S630,IF($P630="Mix",SUMIF('High_Low Voltage Mix Summary'!$B$10:$B$17,$B463,'High_Low Voltage Mix Summary'!$D$10:$D$17),""))</f>
        <v/>
      </c>
      <c r="W630" s="44" t="str">
        <f>IF($P630="Low",$S630,IF($P630="Mix",SUMIF('High_Low Voltage Mix Summary'!$B$10:$B$17,$B463,'High_Low Voltage Mix Summary'!$E$10:$E$17),""))</f>
        <v/>
      </c>
      <c r="X630" s="44" t="str">
        <f>IF($P630="High",$T630,IF($P630="Mix",SUMIF('High_Low Voltage Mix Summary'!$B$10:$B$17,$B463,'High_Low Voltage Mix Summary'!$F$10:$F$17),""))</f>
        <v/>
      </c>
      <c r="Y630" s="44" t="str">
        <f>IF($P630="Low",$T630,IF($P630="Mix",SUMIF('High_Low Voltage Mix Summary'!$B$10:$B$17,$B463,'High_Low Voltage Mix Summary'!$G$10:$G$17),""))</f>
        <v/>
      </c>
      <c r="Z630" s="44" t="str">
        <f>IF(OR($P630="High",$P630="Low"),"",IF($P630="Mix",SUMIF('High_Low Voltage Mix Summary'!$B$10:$B$17,$B463,'High_Low Voltage Mix Summary'!$H$10:$H$17),""))</f>
        <v/>
      </c>
      <c r="AB630" s="49">
        <f>SUMIF('Antelope Bailey Split BA'!$B$7:$B$29,B630,'Antelope Bailey Split BA'!$C$7:$C$29)</f>
        <v>0</v>
      </c>
      <c r="AC630" s="49" t="str">
        <f>IF(AND(AB630=1,'Plant Total by Account'!$H$1=2),"EKWRA","")</f>
        <v/>
      </c>
    </row>
    <row r="631" spans="1:29" x14ac:dyDescent="0.2">
      <c r="A631" s="39" t="s">
        <v>3131</v>
      </c>
      <c r="B631" s="45" t="s">
        <v>752</v>
      </c>
      <c r="C631" s="40" t="s">
        <v>3334</v>
      </c>
      <c r="D631" s="53">
        <v>141655.82</v>
      </c>
      <c r="E631" s="53">
        <v>194546.1</v>
      </c>
      <c r="F631" s="53">
        <v>4542598.3100000015</v>
      </c>
      <c r="G631" s="578">
        <f t="shared" si="83"/>
        <v>4878800.2300000014</v>
      </c>
      <c r="H631" s="41"/>
      <c r="I631" s="41"/>
      <c r="J631" s="41"/>
      <c r="K631" s="41">
        <f t="shared" si="85"/>
        <v>141655.82</v>
      </c>
      <c r="L631" s="41">
        <f t="shared" si="86"/>
        <v>194546.1</v>
      </c>
      <c r="M631" s="41">
        <f t="shared" si="87"/>
        <v>4542598.3100000015</v>
      </c>
      <c r="N631" s="363">
        <f t="shared" si="84"/>
        <v>0</v>
      </c>
      <c r="O631" s="43" t="s">
        <v>3309</v>
      </c>
      <c r="P631" s="43"/>
      <c r="R631" s="41">
        <f t="shared" si="80"/>
        <v>0</v>
      </c>
      <c r="S631" s="41">
        <f t="shared" si="81"/>
        <v>0</v>
      </c>
      <c r="T631" s="41">
        <f t="shared" si="82"/>
        <v>0</v>
      </c>
      <c r="U631" s="41"/>
      <c r="V631" s="44" t="str">
        <f>IF($P631="High",$S631,IF($P631="Mix",SUMIF('High_Low Voltage Mix Summary'!$B$10:$B$17,#REF!,'High_Low Voltage Mix Summary'!$D$10:$D$17),""))</f>
        <v/>
      </c>
      <c r="W631" s="44" t="str">
        <f>IF($P631="Low",$S631,IF($P631="Mix",SUMIF('High_Low Voltage Mix Summary'!$B$10:$B$17,#REF!,'High_Low Voltage Mix Summary'!$E$10:$E$17),""))</f>
        <v/>
      </c>
      <c r="X631" s="44" t="str">
        <f>IF($P631="High",$T631,IF($P631="Mix",SUMIF('High_Low Voltage Mix Summary'!$B$10:$B$17,#REF!,'High_Low Voltage Mix Summary'!$F$10:$F$17),""))</f>
        <v/>
      </c>
      <c r="Y631" s="44" t="str">
        <f>IF($P631="Low",$T631,IF($P631="Mix",SUMIF('High_Low Voltage Mix Summary'!$B$10:$B$17,#REF!,'High_Low Voltage Mix Summary'!$G$10:$G$17),""))</f>
        <v/>
      </c>
      <c r="Z631" s="44" t="str">
        <f>IF(OR($P631="High",$P631="Low"),"",IF($P631="Mix",SUMIF('High_Low Voltage Mix Summary'!$B$10:$B$17,#REF!,'High_Low Voltage Mix Summary'!$H$10:$H$17),""))</f>
        <v/>
      </c>
      <c r="AB631" s="49">
        <f>SUMIF('Antelope Bailey Split BA'!$B$7:$B$29,B631,'Antelope Bailey Split BA'!$C$7:$C$29)</f>
        <v>0</v>
      </c>
      <c r="AC631" s="49" t="str">
        <f>IF(AND(AB631=1,'Plant Total by Account'!$H$1=2),"EKWRA","")</f>
        <v/>
      </c>
    </row>
    <row r="632" spans="1:29" x14ac:dyDescent="0.2">
      <c r="A632" s="39" t="s">
        <v>3132</v>
      </c>
      <c r="B632" s="45" t="s">
        <v>753</v>
      </c>
      <c r="C632" s="40" t="s">
        <v>3334</v>
      </c>
      <c r="D632" s="53">
        <v>83294.78</v>
      </c>
      <c r="E632" s="53">
        <v>67562.22</v>
      </c>
      <c r="F632" s="53">
        <v>3113470.2500000009</v>
      </c>
      <c r="G632" s="578">
        <f t="shared" si="83"/>
        <v>3264327.2500000009</v>
      </c>
      <c r="H632" s="41"/>
      <c r="I632" s="41"/>
      <c r="J632" s="41"/>
      <c r="K632" s="41">
        <f t="shared" si="85"/>
        <v>83294.78</v>
      </c>
      <c r="L632" s="41">
        <f t="shared" si="86"/>
        <v>67562.22</v>
      </c>
      <c r="M632" s="41">
        <f t="shared" si="87"/>
        <v>3113470.2500000009</v>
      </c>
      <c r="N632" s="363">
        <f t="shared" si="84"/>
        <v>0</v>
      </c>
      <c r="O632" s="43" t="s">
        <v>3309</v>
      </c>
      <c r="P632" s="43"/>
      <c r="R632" s="41">
        <f t="shared" si="80"/>
        <v>0</v>
      </c>
      <c r="S632" s="41">
        <f t="shared" si="81"/>
        <v>0</v>
      </c>
      <c r="T632" s="41">
        <f t="shared" si="82"/>
        <v>0</v>
      </c>
      <c r="U632" s="41"/>
      <c r="V632" s="44" t="str">
        <f>IF($P632="High",$S632,IF($P632="Mix",SUMIF('High_Low Voltage Mix Summary'!$B$10:$B$17,#REF!,'High_Low Voltage Mix Summary'!$D$10:$D$17),""))</f>
        <v/>
      </c>
      <c r="W632" s="44" t="str">
        <f>IF($P632="Low",$S632,IF($P632="Mix",SUMIF('High_Low Voltage Mix Summary'!$B$10:$B$17,#REF!,'High_Low Voltage Mix Summary'!$E$10:$E$17),""))</f>
        <v/>
      </c>
      <c r="X632" s="44" t="str">
        <f>IF($P632="High",$T632,IF($P632="Mix",SUMIF('High_Low Voltage Mix Summary'!$B$10:$B$17,#REF!,'High_Low Voltage Mix Summary'!$F$10:$F$17),""))</f>
        <v/>
      </c>
      <c r="Y632" s="44" t="str">
        <f>IF($P632="Low",$T632,IF($P632="Mix",SUMIF('High_Low Voltage Mix Summary'!$B$10:$B$17,#REF!,'High_Low Voltage Mix Summary'!$G$10:$G$17),""))</f>
        <v/>
      </c>
      <c r="Z632" s="44" t="str">
        <f>IF(OR($P632="High",$P632="Low"),"",IF($P632="Mix",SUMIF('High_Low Voltage Mix Summary'!$B$10:$B$17,#REF!,'High_Low Voltage Mix Summary'!$H$10:$H$17),""))</f>
        <v/>
      </c>
      <c r="AB632" s="49">
        <f>SUMIF('Antelope Bailey Split BA'!$B$7:$B$29,B632,'Antelope Bailey Split BA'!$C$7:$C$29)</f>
        <v>0</v>
      </c>
      <c r="AC632" s="49" t="str">
        <f>IF(AND(AB632=1,'Plant Total by Account'!$H$1=2),"EKWRA","")</f>
        <v/>
      </c>
    </row>
    <row r="633" spans="1:29" x14ac:dyDescent="0.2">
      <c r="A633" s="39" t="s">
        <v>3133</v>
      </c>
      <c r="B633" s="45" t="s">
        <v>754</v>
      </c>
      <c r="C633" s="40" t="s">
        <v>3334</v>
      </c>
      <c r="D633" s="53">
        <v>23620.07</v>
      </c>
      <c r="E633" s="53">
        <v>163568.89000000001</v>
      </c>
      <c r="F633" s="53">
        <v>3046832.5800000005</v>
      </c>
      <c r="G633" s="578">
        <f t="shared" si="83"/>
        <v>3234021.5400000005</v>
      </c>
      <c r="H633" s="41"/>
      <c r="I633" s="41"/>
      <c r="J633" s="41"/>
      <c r="K633" s="41">
        <f t="shared" si="85"/>
        <v>23620.07</v>
      </c>
      <c r="L633" s="41">
        <f t="shared" si="86"/>
        <v>163568.89000000001</v>
      </c>
      <c r="M633" s="41">
        <f t="shared" si="87"/>
        <v>3046832.5800000005</v>
      </c>
      <c r="N633" s="363">
        <f t="shared" si="84"/>
        <v>0</v>
      </c>
      <c r="O633" s="43" t="s">
        <v>3309</v>
      </c>
      <c r="P633" s="43"/>
      <c r="R633" s="41">
        <f t="shared" si="80"/>
        <v>0</v>
      </c>
      <c r="S633" s="41">
        <f t="shared" si="81"/>
        <v>0</v>
      </c>
      <c r="T633" s="41">
        <f t="shared" si="82"/>
        <v>0</v>
      </c>
      <c r="U633" s="41"/>
      <c r="V633" s="44" t="str">
        <f>IF($P633="High",$S633,IF($P633="Mix",SUMIF('High_Low Voltage Mix Summary'!$B$10:$B$17,$B464,'High_Low Voltage Mix Summary'!$D$10:$D$17),""))</f>
        <v/>
      </c>
      <c r="W633" s="44" t="str">
        <f>IF($P633="Low",$S633,IF($P633="Mix",SUMIF('High_Low Voltage Mix Summary'!$B$10:$B$17,$B464,'High_Low Voltage Mix Summary'!$E$10:$E$17),""))</f>
        <v/>
      </c>
      <c r="X633" s="44" t="str">
        <f>IF($P633="High",$T633,IF($P633="Mix",SUMIF('High_Low Voltage Mix Summary'!$B$10:$B$17,$B464,'High_Low Voltage Mix Summary'!$F$10:$F$17),""))</f>
        <v/>
      </c>
      <c r="Y633" s="44" t="str">
        <f>IF($P633="Low",$T633,IF($P633="Mix",SUMIF('High_Low Voltage Mix Summary'!$B$10:$B$17,$B464,'High_Low Voltage Mix Summary'!$G$10:$G$17),""))</f>
        <v/>
      </c>
      <c r="Z633" s="44" t="str">
        <f>IF(OR($P633="High",$P633="Low"),"",IF($P633="Mix",SUMIF('High_Low Voltage Mix Summary'!$B$10:$B$17,$B464,'High_Low Voltage Mix Summary'!$H$10:$H$17),""))</f>
        <v/>
      </c>
      <c r="AB633" s="49">
        <f>SUMIF('Antelope Bailey Split BA'!$B$7:$B$29,B633,'Antelope Bailey Split BA'!$C$7:$C$29)</f>
        <v>0</v>
      </c>
      <c r="AC633" s="49" t="str">
        <f>IF(AND(AB633=1,'Plant Total by Account'!$H$1=2),"EKWRA","")</f>
        <v/>
      </c>
    </row>
    <row r="634" spans="1:29" x14ac:dyDescent="0.2">
      <c r="A634" s="39" t="s">
        <v>3134</v>
      </c>
      <c r="B634" s="45" t="s">
        <v>755</v>
      </c>
      <c r="C634" s="40" t="s">
        <v>3334</v>
      </c>
      <c r="D634" s="53">
        <v>118648.70000000001</v>
      </c>
      <c r="E634" s="53">
        <v>228243.76</v>
      </c>
      <c r="F634" s="53">
        <v>3533425.3300000019</v>
      </c>
      <c r="G634" s="578">
        <f t="shared" si="83"/>
        <v>3880317.7900000019</v>
      </c>
      <c r="H634" s="41"/>
      <c r="I634" s="41"/>
      <c r="J634" s="41"/>
      <c r="K634" s="41">
        <f t="shared" si="85"/>
        <v>118648.70000000001</v>
      </c>
      <c r="L634" s="41">
        <f t="shared" si="86"/>
        <v>228243.76</v>
      </c>
      <c r="M634" s="41">
        <f t="shared" si="87"/>
        <v>3533425.3300000019</v>
      </c>
      <c r="N634" s="363">
        <f t="shared" si="84"/>
        <v>0</v>
      </c>
      <c r="O634" s="43" t="s">
        <v>3309</v>
      </c>
      <c r="P634" s="43"/>
      <c r="R634" s="41">
        <f t="shared" si="80"/>
        <v>0</v>
      </c>
      <c r="S634" s="41">
        <f t="shared" si="81"/>
        <v>0</v>
      </c>
      <c r="T634" s="41">
        <f t="shared" si="82"/>
        <v>0</v>
      </c>
      <c r="U634" s="41"/>
      <c r="V634" s="44" t="str">
        <f>IF($P634="High",$S634,IF($P634="Mix",SUMIF('High_Low Voltage Mix Summary'!$B$10:$B$17,$B465,'High_Low Voltage Mix Summary'!$D$10:$D$17),""))</f>
        <v/>
      </c>
      <c r="W634" s="44" t="str">
        <f>IF($P634="Low",$S634,IF($P634="Mix",SUMIF('High_Low Voltage Mix Summary'!$B$10:$B$17,$B465,'High_Low Voltage Mix Summary'!$E$10:$E$17),""))</f>
        <v/>
      </c>
      <c r="X634" s="44" t="str">
        <f>IF($P634="High",$T634,IF($P634="Mix",SUMIF('High_Low Voltage Mix Summary'!$B$10:$B$17,$B465,'High_Low Voltage Mix Summary'!$F$10:$F$17),""))</f>
        <v/>
      </c>
      <c r="Y634" s="44" t="str">
        <f>IF($P634="Low",$T634,IF($P634="Mix",SUMIF('High_Low Voltage Mix Summary'!$B$10:$B$17,$B465,'High_Low Voltage Mix Summary'!$G$10:$G$17),""))</f>
        <v/>
      </c>
      <c r="Z634" s="44" t="str">
        <f>IF(OR($P634="High",$P634="Low"),"",IF($P634="Mix",SUMIF('High_Low Voltage Mix Summary'!$B$10:$B$17,$B465,'High_Low Voltage Mix Summary'!$H$10:$H$17),""))</f>
        <v/>
      </c>
      <c r="AB634" s="49">
        <f>SUMIF('Antelope Bailey Split BA'!$B$7:$B$29,B634,'Antelope Bailey Split BA'!$C$7:$C$29)</f>
        <v>0</v>
      </c>
      <c r="AC634" s="49" t="str">
        <f>IF(AND(AB634=1,'Plant Total by Account'!$H$1=2),"EKWRA","")</f>
        <v/>
      </c>
    </row>
    <row r="635" spans="1:29" x14ac:dyDescent="0.2">
      <c r="A635" s="39" t="s">
        <v>3135</v>
      </c>
      <c r="B635" s="45" t="s">
        <v>756</v>
      </c>
      <c r="C635" s="40" t="s">
        <v>3334</v>
      </c>
      <c r="D635" s="53">
        <v>86491.88</v>
      </c>
      <c r="E635" s="53">
        <v>69604.680000000008</v>
      </c>
      <c r="F635" s="53">
        <v>1827565.01</v>
      </c>
      <c r="G635" s="578">
        <f t="shared" si="83"/>
        <v>1983661.57</v>
      </c>
      <c r="H635" s="41"/>
      <c r="I635" s="41"/>
      <c r="J635" s="41"/>
      <c r="K635" s="41">
        <f t="shared" si="85"/>
        <v>86491.88</v>
      </c>
      <c r="L635" s="41">
        <f t="shared" si="86"/>
        <v>69604.680000000008</v>
      </c>
      <c r="M635" s="41">
        <f t="shared" si="87"/>
        <v>1827565.01</v>
      </c>
      <c r="N635" s="363">
        <f t="shared" si="84"/>
        <v>0</v>
      </c>
      <c r="O635" s="43" t="s">
        <v>3309</v>
      </c>
      <c r="P635" s="43"/>
      <c r="R635" s="41">
        <f t="shared" si="80"/>
        <v>0</v>
      </c>
      <c r="S635" s="41">
        <f t="shared" si="81"/>
        <v>0</v>
      </c>
      <c r="T635" s="41">
        <f t="shared" si="82"/>
        <v>0</v>
      </c>
      <c r="U635" s="41"/>
      <c r="V635" s="44" t="str">
        <f>IF($P635="High",$S635,IF($P635="Mix",SUMIF('High_Low Voltage Mix Summary'!$B$10:$B$17,$B466,'High_Low Voltage Mix Summary'!$D$10:$D$17),""))</f>
        <v/>
      </c>
      <c r="W635" s="44" t="str">
        <f>IF($P635="Low",$S635,IF($P635="Mix",SUMIF('High_Low Voltage Mix Summary'!$B$10:$B$17,$B466,'High_Low Voltage Mix Summary'!$E$10:$E$17),""))</f>
        <v/>
      </c>
      <c r="X635" s="44" t="str">
        <f>IF($P635="High",$T635,IF($P635="Mix",SUMIF('High_Low Voltage Mix Summary'!$B$10:$B$17,$B466,'High_Low Voltage Mix Summary'!$F$10:$F$17),""))</f>
        <v/>
      </c>
      <c r="Y635" s="44" t="str">
        <f>IF($P635="Low",$T635,IF($P635="Mix",SUMIF('High_Low Voltage Mix Summary'!$B$10:$B$17,$B466,'High_Low Voltage Mix Summary'!$G$10:$G$17),""))</f>
        <v/>
      </c>
      <c r="Z635" s="44" t="str">
        <f>IF(OR($P635="High",$P635="Low"),"",IF($P635="Mix",SUMIF('High_Low Voltage Mix Summary'!$B$10:$B$17,$B466,'High_Low Voltage Mix Summary'!$H$10:$H$17),""))</f>
        <v/>
      </c>
      <c r="AB635" s="49">
        <f>SUMIF('Antelope Bailey Split BA'!$B$7:$B$29,B635,'Antelope Bailey Split BA'!$C$7:$C$29)</f>
        <v>0</v>
      </c>
      <c r="AC635" s="49" t="str">
        <f>IF(AND(AB635=1,'Plant Total by Account'!$H$1=2),"EKWRA","")</f>
        <v/>
      </c>
    </row>
    <row r="636" spans="1:29" x14ac:dyDescent="0.2">
      <c r="A636" s="39" t="s">
        <v>3136</v>
      </c>
      <c r="B636" s="45" t="s">
        <v>757</v>
      </c>
      <c r="C636" s="40" t="s">
        <v>3334</v>
      </c>
      <c r="D636" s="53">
        <v>0</v>
      </c>
      <c r="E636" s="53">
        <v>10307.699999999999</v>
      </c>
      <c r="F636" s="53">
        <v>53524.840000000004</v>
      </c>
      <c r="G636" s="578">
        <f t="shared" si="83"/>
        <v>63832.54</v>
      </c>
      <c r="H636" s="41"/>
      <c r="I636" s="41"/>
      <c r="J636" s="41"/>
      <c r="K636" s="41">
        <f t="shared" si="85"/>
        <v>0</v>
      </c>
      <c r="L636" s="41">
        <f t="shared" si="86"/>
        <v>10307.699999999999</v>
      </c>
      <c r="M636" s="41">
        <f t="shared" si="87"/>
        <v>53524.840000000004</v>
      </c>
      <c r="N636" s="363">
        <f t="shared" si="84"/>
        <v>0</v>
      </c>
      <c r="O636" s="43" t="s">
        <v>3309</v>
      </c>
      <c r="P636" s="43"/>
      <c r="R636" s="41">
        <f t="shared" si="80"/>
        <v>0</v>
      </c>
      <c r="S636" s="41">
        <f t="shared" si="81"/>
        <v>0</v>
      </c>
      <c r="T636" s="41">
        <f t="shared" si="82"/>
        <v>0</v>
      </c>
      <c r="U636" s="41"/>
      <c r="V636" s="44" t="str">
        <f>IF($P636="High",$S636,IF($P636="Mix",SUMIF('High_Low Voltage Mix Summary'!$B$10:$B$17,$B467,'High_Low Voltage Mix Summary'!$D$10:$D$17),""))</f>
        <v/>
      </c>
      <c r="W636" s="44" t="str">
        <f>IF($P636="Low",$S636,IF($P636="Mix",SUMIF('High_Low Voltage Mix Summary'!$B$10:$B$17,$B467,'High_Low Voltage Mix Summary'!$E$10:$E$17),""))</f>
        <v/>
      </c>
      <c r="X636" s="44" t="str">
        <f>IF($P636="High",$T636,IF($P636="Mix",SUMIF('High_Low Voltage Mix Summary'!$B$10:$B$17,$B467,'High_Low Voltage Mix Summary'!$F$10:$F$17),""))</f>
        <v/>
      </c>
      <c r="Y636" s="44" t="str">
        <f>IF($P636="Low",$T636,IF($P636="Mix",SUMIF('High_Low Voltage Mix Summary'!$B$10:$B$17,$B467,'High_Low Voltage Mix Summary'!$G$10:$G$17),""))</f>
        <v/>
      </c>
      <c r="Z636" s="44" t="str">
        <f>IF(OR($P636="High",$P636="Low"),"",IF($P636="Mix",SUMIF('High_Low Voltage Mix Summary'!$B$10:$B$17,$B467,'High_Low Voltage Mix Summary'!$H$10:$H$17),""))</f>
        <v/>
      </c>
      <c r="AB636" s="49">
        <f>SUMIF('Antelope Bailey Split BA'!$B$7:$B$29,B636,'Antelope Bailey Split BA'!$C$7:$C$29)</f>
        <v>0</v>
      </c>
      <c r="AC636" s="49" t="str">
        <f>IF(AND(AB636=1,'Plant Total by Account'!$H$1=2),"EKWRA","")</f>
        <v/>
      </c>
    </row>
    <row r="637" spans="1:29" x14ac:dyDescent="0.2">
      <c r="A637" s="39" t="s">
        <v>3137</v>
      </c>
      <c r="B637" s="45" t="s">
        <v>758</v>
      </c>
      <c r="C637" s="40" t="s">
        <v>3333</v>
      </c>
      <c r="D637" s="53">
        <v>3885.63</v>
      </c>
      <c r="E637" s="53">
        <v>33322.11</v>
      </c>
      <c r="F637" s="53">
        <v>1133093.5300000003</v>
      </c>
      <c r="G637" s="578">
        <f t="shared" si="83"/>
        <v>1170301.2700000003</v>
      </c>
      <c r="H637" s="41"/>
      <c r="I637" s="41"/>
      <c r="J637" s="41"/>
      <c r="K637" s="41">
        <f t="shared" si="85"/>
        <v>3885.63</v>
      </c>
      <c r="L637" s="41">
        <f t="shared" si="86"/>
        <v>33322.11</v>
      </c>
      <c r="M637" s="41">
        <f t="shared" si="87"/>
        <v>1133093.5300000003</v>
      </c>
      <c r="N637" s="363">
        <f t="shared" si="84"/>
        <v>0</v>
      </c>
      <c r="O637" s="43" t="s">
        <v>3309</v>
      </c>
      <c r="P637" s="43"/>
      <c r="R637" s="41">
        <f t="shared" si="80"/>
        <v>0</v>
      </c>
      <c r="S637" s="41">
        <f t="shared" si="81"/>
        <v>0</v>
      </c>
      <c r="T637" s="41">
        <f t="shared" si="82"/>
        <v>0</v>
      </c>
      <c r="U637" s="41"/>
      <c r="V637" s="44" t="str">
        <f>IF($P637="High",$S637,IF($P637="Mix",SUMIF('High_Low Voltage Mix Summary'!$B$10:$B$17,$B468,'High_Low Voltage Mix Summary'!$D$10:$D$17),""))</f>
        <v/>
      </c>
      <c r="W637" s="44" t="str">
        <f>IF($P637="Low",$S637,IF($P637="Mix",SUMIF('High_Low Voltage Mix Summary'!$B$10:$B$17,$B468,'High_Low Voltage Mix Summary'!$E$10:$E$17),""))</f>
        <v/>
      </c>
      <c r="X637" s="44" t="str">
        <f>IF($P637="High",$T637,IF($P637="Mix",SUMIF('High_Low Voltage Mix Summary'!$B$10:$B$17,$B468,'High_Low Voltage Mix Summary'!$F$10:$F$17),""))</f>
        <v/>
      </c>
      <c r="Y637" s="44" t="str">
        <f>IF($P637="Low",$T637,IF($P637="Mix",SUMIF('High_Low Voltage Mix Summary'!$B$10:$B$17,$B468,'High_Low Voltage Mix Summary'!$G$10:$G$17),""))</f>
        <v/>
      </c>
      <c r="Z637" s="44" t="str">
        <f>IF(OR($P637="High",$P637="Low"),"",IF($P637="Mix",SUMIF('High_Low Voltage Mix Summary'!$B$10:$B$17,$B468,'High_Low Voltage Mix Summary'!$H$10:$H$17),""))</f>
        <v/>
      </c>
      <c r="AB637" s="49">
        <f>SUMIF('Antelope Bailey Split BA'!$B$7:$B$29,B637,'Antelope Bailey Split BA'!$C$7:$C$29)</f>
        <v>0</v>
      </c>
      <c r="AC637" s="49" t="str">
        <f>IF(AND(AB637=1,'Plant Total by Account'!$H$1=2),"EKWRA","")</f>
        <v/>
      </c>
    </row>
    <row r="638" spans="1:29" x14ac:dyDescent="0.2">
      <c r="A638" s="39" t="s">
        <v>2466</v>
      </c>
      <c r="B638" s="45" t="s">
        <v>759</v>
      </c>
      <c r="C638" s="40" t="s">
        <v>3334</v>
      </c>
      <c r="D638" s="53">
        <v>62261.07</v>
      </c>
      <c r="E638" s="53">
        <v>0</v>
      </c>
      <c r="F638" s="53">
        <v>0</v>
      </c>
      <c r="G638" s="578">
        <f t="shared" si="83"/>
        <v>62261.07</v>
      </c>
      <c r="H638" s="41"/>
      <c r="I638" s="41"/>
      <c r="J638" s="41"/>
      <c r="K638" s="41">
        <f t="shared" si="85"/>
        <v>62261.07</v>
      </c>
      <c r="L638" s="41">
        <f t="shared" si="86"/>
        <v>0</v>
      </c>
      <c r="M638" s="41">
        <f t="shared" si="87"/>
        <v>0</v>
      </c>
      <c r="N638" s="363">
        <f t="shared" si="84"/>
        <v>0</v>
      </c>
      <c r="O638" s="43" t="s">
        <v>3309</v>
      </c>
      <c r="P638" s="43"/>
      <c r="R638" s="41">
        <f t="shared" si="80"/>
        <v>0</v>
      </c>
      <c r="S638" s="41">
        <f t="shared" si="81"/>
        <v>0</v>
      </c>
      <c r="T638" s="41">
        <f t="shared" si="82"/>
        <v>0</v>
      </c>
      <c r="U638" s="41"/>
      <c r="V638" s="44" t="str">
        <f>IF($P638="High",$S638,IF($P638="Mix",SUMIF('High_Low Voltage Mix Summary'!$B$10:$B$17,$B469,'High_Low Voltage Mix Summary'!$D$10:$D$17),""))</f>
        <v/>
      </c>
      <c r="W638" s="44" t="str">
        <f>IF($P638="Low",$S638,IF($P638="Mix",SUMIF('High_Low Voltage Mix Summary'!$B$10:$B$17,$B469,'High_Low Voltage Mix Summary'!$E$10:$E$17),""))</f>
        <v/>
      </c>
      <c r="X638" s="44" t="str">
        <f>IF($P638="High",$T638,IF($P638="Mix",SUMIF('High_Low Voltage Mix Summary'!$B$10:$B$17,$B469,'High_Low Voltage Mix Summary'!$F$10:$F$17),""))</f>
        <v/>
      </c>
      <c r="Y638" s="44" t="str">
        <f>IF($P638="Low",$T638,IF($P638="Mix",SUMIF('High_Low Voltage Mix Summary'!$B$10:$B$17,$B469,'High_Low Voltage Mix Summary'!$G$10:$G$17),""))</f>
        <v/>
      </c>
      <c r="Z638" s="44" t="str">
        <f>IF(OR($P638="High",$P638="Low"),"",IF($P638="Mix",SUMIF('High_Low Voltage Mix Summary'!$B$10:$B$17,$B469,'High_Low Voltage Mix Summary'!$H$10:$H$17),""))</f>
        <v/>
      </c>
      <c r="AB638" s="49">
        <f>SUMIF('Antelope Bailey Split BA'!$B$7:$B$29,B638,'Antelope Bailey Split BA'!$C$7:$C$29)</f>
        <v>0</v>
      </c>
      <c r="AC638" s="49" t="str">
        <f>IF(AND(AB638=1,'Plant Total by Account'!$H$1=2),"EKWRA","")</f>
        <v/>
      </c>
    </row>
    <row r="639" spans="1:29" x14ac:dyDescent="0.2">
      <c r="A639" s="39" t="s">
        <v>3138</v>
      </c>
      <c r="B639" s="45" t="s">
        <v>760</v>
      </c>
      <c r="C639" s="40" t="s">
        <v>3334</v>
      </c>
      <c r="D639" s="53">
        <v>1680.8500000000001</v>
      </c>
      <c r="E639" s="53">
        <v>71280.58</v>
      </c>
      <c r="F639" s="53">
        <v>4294085.6799999941</v>
      </c>
      <c r="G639" s="578">
        <f t="shared" si="83"/>
        <v>4367047.1099999938</v>
      </c>
      <c r="H639" s="41"/>
      <c r="I639" s="41"/>
      <c r="J639" s="41"/>
      <c r="K639" s="41">
        <f t="shared" si="85"/>
        <v>1680.8500000000001</v>
      </c>
      <c r="L639" s="41">
        <f t="shared" si="86"/>
        <v>71280.58</v>
      </c>
      <c r="M639" s="41">
        <f t="shared" si="87"/>
        <v>4294085.6799999941</v>
      </c>
      <c r="N639" s="363">
        <f t="shared" si="84"/>
        <v>0</v>
      </c>
      <c r="O639" s="43" t="s">
        <v>3309</v>
      </c>
      <c r="P639" s="43"/>
      <c r="R639" s="41">
        <f t="shared" si="80"/>
        <v>0</v>
      </c>
      <c r="S639" s="41">
        <f t="shared" si="81"/>
        <v>0</v>
      </c>
      <c r="T639" s="41">
        <f t="shared" si="82"/>
        <v>0</v>
      </c>
      <c r="U639" s="41"/>
      <c r="V639" s="44" t="str">
        <f>IF($P639="High",$S639,IF($P639="Mix",SUMIF('High_Low Voltage Mix Summary'!$B$10:$B$17,$B470,'High_Low Voltage Mix Summary'!$D$10:$D$17),""))</f>
        <v/>
      </c>
      <c r="W639" s="44" t="str">
        <f>IF($P639="Low",$S639,IF($P639="Mix",SUMIF('High_Low Voltage Mix Summary'!$B$10:$B$17,$B470,'High_Low Voltage Mix Summary'!$E$10:$E$17),""))</f>
        <v/>
      </c>
      <c r="X639" s="44" t="str">
        <f>IF($P639="High",$T639,IF($P639="Mix",SUMIF('High_Low Voltage Mix Summary'!$B$10:$B$17,$B470,'High_Low Voltage Mix Summary'!$F$10:$F$17),""))</f>
        <v/>
      </c>
      <c r="Y639" s="44" t="str">
        <f>IF($P639="Low",$T639,IF($P639="Mix",SUMIF('High_Low Voltage Mix Summary'!$B$10:$B$17,$B470,'High_Low Voltage Mix Summary'!$G$10:$G$17),""))</f>
        <v/>
      </c>
      <c r="Z639" s="44" t="str">
        <f>IF(OR($P639="High",$P639="Low"),"",IF($P639="Mix",SUMIF('High_Low Voltage Mix Summary'!$B$10:$B$17,$B470,'High_Low Voltage Mix Summary'!$H$10:$H$17),""))</f>
        <v/>
      </c>
      <c r="AB639" s="49">
        <f>SUMIF('Antelope Bailey Split BA'!$B$7:$B$29,B639,'Antelope Bailey Split BA'!$C$7:$C$29)</f>
        <v>0</v>
      </c>
      <c r="AC639" s="49" t="str">
        <f>IF(AND(AB639=1,'Plant Total by Account'!$H$1=2),"EKWRA","")</f>
        <v/>
      </c>
    </row>
    <row r="640" spans="1:29" x14ac:dyDescent="0.2">
      <c r="A640" s="39" t="s">
        <v>2467</v>
      </c>
      <c r="B640" s="45" t="s">
        <v>761</v>
      </c>
      <c r="C640" s="40" t="s">
        <v>3334</v>
      </c>
      <c r="D640" s="53">
        <v>14328.16</v>
      </c>
      <c r="E640" s="53">
        <v>463964</v>
      </c>
      <c r="F640" s="53">
        <v>3351930.9799999986</v>
      </c>
      <c r="G640" s="578">
        <f t="shared" si="83"/>
        <v>3830223.1399999987</v>
      </c>
      <c r="H640" s="41"/>
      <c r="I640" s="41"/>
      <c r="J640" s="41"/>
      <c r="K640" s="41">
        <f t="shared" si="85"/>
        <v>14328.16</v>
      </c>
      <c r="L640" s="41">
        <f t="shared" si="86"/>
        <v>463964</v>
      </c>
      <c r="M640" s="41">
        <f t="shared" si="87"/>
        <v>3351930.9799999986</v>
      </c>
      <c r="N640" s="363">
        <f t="shared" si="84"/>
        <v>0</v>
      </c>
      <c r="O640" s="43" t="s">
        <v>3309</v>
      </c>
      <c r="P640" s="43"/>
      <c r="R640" s="41">
        <f t="shared" si="80"/>
        <v>0</v>
      </c>
      <c r="S640" s="41">
        <f t="shared" si="81"/>
        <v>0</v>
      </c>
      <c r="T640" s="41">
        <f t="shared" si="82"/>
        <v>0</v>
      </c>
      <c r="U640" s="41"/>
      <c r="V640" s="44" t="str">
        <f>IF($P640="High",$S640,IF($P640="Mix",SUMIF('High_Low Voltage Mix Summary'!$B$10:$B$17,#REF!,'High_Low Voltage Mix Summary'!$D$10:$D$17),""))</f>
        <v/>
      </c>
      <c r="W640" s="44" t="str">
        <f>IF($P640="Low",$S640,IF($P640="Mix",SUMIF('High_Low Voltage Mix Summary'!$B$10:$B$17,#REF!,'High_Low Voltage Mix Summary'!$E$10:$E$17),""))</f>
        <v/>
      </c>
      <c r="X640" s="44" t="str">
        <f>IF($P640="High",$T640,IF($P640="Mix",SUMIF('High_Low Voltage Mix Summary'!$B$10:$B$17,#REF!,'High_Low Voltage Mix Summary'!$F$10:$F$17),""))</f>
        <v/>
      </c>
      <c r="Y640" s="44" t="str">
        <f>IF($P640="Low",$T640,IF($P640="Mix",SUMIF('High_Low Voltage Mix Summary'!$B$10:$B$17,#REF!,'High_Low Voltage Mix Summary'!$G$10:$G$17),""))</f>
        <v/>
      </c>
      <c r="Z640" s="44" t="str">
        <f>IF(OR($P640="High",$P640="Low"),"",IF($P640="Mix",SUMIF('High_Low Voltage Mix Summary'!$B$10:$B$17,#REF!,'High_Low Voltage Mix Summary'!$H$10:$H$17),""))</f>
        <v/>
      </c>
      <c r="AB640" s="49">
        <f>SUMIF('Antelope Bailey Split BA'!$B$7:$B$29,B640,'Antelope Bailey Split BA'!$C$7:$C$29)</f>
        <v>0</v>
      </c>
      <c r="AC640" s="49" t="str">
        <f>IF(AND(AB640=1,'Plant Total by Account'!$H$1=2),"EKWRA","")</f>
        <v/>
      </c>
    </row>
    <row r="641" spans="1:29" x14ac:dyDescent="0.2">
      <c r="A641" s="39" t="s">
        <v>3139</v>
      </c>
      <c r="B641" s="45" t="s">
        <v>762</v>
      </c>
      <c r="C641" s="40" t="s">
        <v>3333</v>
      </c>
      <c r="D641" s="53">
        <v>4276.75</v>
      </c>
      <c r="E641" s="53">
        <v>84224.260000000009</v>
      </c>
      <c r="F641" s="53">
        <v>810132.44000000006</v>
      </c>
      <c r="G641" s="578">
        <f t="shared" si="83"/>
        <v>898633.45000000007</v>
      </c>
      <c r="H641" s="41"/>
      <c r="I641" s="41"/>
      <c r="J641" s="41"/>
      <c r="K641" s="41">
        <f t="shared" si="85"/>
        <v>4276.75</v>
      </c>
      <c r="L641" s="41">
        <f t="shared" si="86"/>
        <v>84224.260000000009</v>
      </c>
      <c r="M641" s="41">
        <f t="shared" si="87"/>
        <v>810132.44000000006</v>
      </c>
      <c r="N641" s="363">
        <f t="shared" si="84"/>
        <v>0</v>
      </c>
      <c r="O641" s="43" t="s">
        <v>3309</v>
      </c>
      <c r="P641" s="43"/>
      <c r="R641" s="41">
        <f t="shared" si="80"/>
        <v>0</v>
      </c>
      <c r="S641" s="41">
        <f t="shared" si="81"/>
        <v>0</v>
      </c>
      <c r="T641" s="41">
        <f t="shared" si="82"/>
        <v>0</v>
      </c>
      <c r="U641" s="41"/>
      <c r="V641" s="44" t="str">
        <f>IF($P641="High",$S641,IF($P641="Mix",SUMIF('High_Low Voltage Mix Summary'!$B$10:$B$17,$B471,'High_Low Voltage Mix Summary'!$D$10:$D$17),""))</f>
        <v/>
      </c>
      <c r="W641" s="44" t="str">
        <f>IF($P641="Low",$S641,IF($P641="Mix",SUMIF('High_Low Voltage Mix Summary'!$B$10:$B$17,$B471,'High_Low Voltage Mix Summary'!$E$10:$E$17),""))</f>
        <v/>
      </c>
      <c r="X641" s="44" t="str">
        <f>IF($P641="High",$T641,IF($P641="Mix",SUMIF('High_Low Voltage Mix Summary'!$B$10:$B$17,$B471,'High_Low Voltage Mix Summary'!$F$10:$F$17),""))</f>
        <v/>
      </c>
      <c r="Y641" s="44" t="str">
        <f>IF($P641="Low",$T641,IF($P641="Mix",SUMIF('High_Low Voltage Mix Summary'!$B$10:$B$17,$B471,'High_Low Voltage Mix Summary'!$G$10:$G$17),""))</f>
        <v/>
      </c>
      <c r="Z641" s="44" t="str">
        <f>IF(OR($P641="High",$P641="Low"),"",IF($P641="Mix",SUMIF('High_Low Voltage Mix Summary'!$B$10:$B$17,$B471,'High_Low Voltage Mix Summary'!$H$10:$H$17),""))</f>
        <v/>
      </c>
      <c r="AB641" s="49">
        <f>SUMIF('Antelope Bailey Split BA'!$B$7:$B$29,B641,'Antelope Bailey Split BA'!$C$7:$C$29)</f>
        <v>0</v>
      </c>
      <c r="AC641" s="49" t="str">
        <f>IF(AND(AB641=1,'Plant Total by Account'!$H$1=2),"EKWRA","")</f>
        <v/>
      </c>
    </row>
    <row r="642" spans="1:29" x14ac:dyDescent="0.2">
      <c r="A642" s="39" t="s">
        <v>3140</v>
      </c>
      <c r="B642" s="45" t="s">
        <v>763</v>
      </c>
      <c r="C642" s="40" t="s">
        <v>3333</v>
      </c>
      <c r="D642" s="53">
        <v>3839.73</v>
      </c>
      <c r="E642" s="53">
        <v>46384.570000000007</v>
      </c>
      <c r="F642" s="53">
        <v>1034483.7699999997</v>
      </c>
      <c r="G642" s="578">
        <f t="shared" si="83"/>
        <v>1084708.0699999996</v>
      </c>
      <c r="H642" s="41"/>
      <c r="I642" s="41"/>
      <c r="J642" s="41"/>
      <c r="K642" s="41">
        <f t="shared" si="85"/>
        <v>3839.73</v>
      </c>
      <c r="L642" s="41">
        <f t="shared" si="86"/>
        <v>46384.570000000007</v>
      </c>
      <c r="M642" s="41">
        <f t="shared" si="87"/>
        <v>1034483.7699999997</v>
      </c>
      <c r="N642" s="363">
        <f t="shared" si="84"/>
        <v>0</v>
      </c>
      <c r="O642" s="43" t="s">
        <v>3309</v>
      </c>
      <c r="P642" s="43"/>
      <c r="R642" s="41">
        <f t="shared" si="80"/>
        <v>0</v>
      </c>
      <c r="S642" s="41">
        <f t="shared" si="81"/>
        <v>0</v>
      </c>
      <c r="T642" s="41">
        <f t="shared" si="82"/>
        <v>0</v>
      </c>
      <c r="U642" s="41"/>
      <c r="V642" s="44" t="str">
        <f>IF($P642="High",$S642,IF($P642="Mix",SUMIF('High_Low Voltage Mix Summary'!$B$10:$B$17,$B472,'High_Low Voltage Mix Summary'!$D$10:$D$17),""))</f>
        <v/>
      </c>
      <c r="W642" s="44" t="str">
        <f>IF($P642="Low",$S642,IF($P642="Mix",SUMIF('High_Low Voltage Mix Summary'!$B$10:$B$17,$B472,'High_Low Voltage Mix Summary'!$E$10:$E$17),""))</f>
        <v/>
      </c>
      <c r="X642" s="44" t="str">
        <f>IF($P642="High",$T642,IF($P642="Mix",SUMIF('High_Low Voltage Mix Summary'!$B$10:$B$17,$B472,'High_Low Voltage Mix Summary'!$F$10:$F$17),""))</f>
        <v/>
      </c>
      <c r="Y642" s="44" t="str">
        <f>IF($P642="Low",$T642,IF($P642="Mix",SUMIF('High_Low Voltage Mix Summary'!$B$10:$B$17,$B472,'High_Low Voltage Mix Summary'!$G$10:$G$17),""))</f>
        <v/>
      </c>
      <c r="Z642" s="44" t="str">
        <f>IF(OR($P642="High",$P642="Low"),"",IF($P642="Mix",SUMIF('High_Low Voltage Mix Summary'!$B$10:$B$17,$B472,'High_Low Voltage Mix Summary'!$H$10:$H$17),""))</f>
        <v/>
      </c>
      <c r="AB642" s="49">
        <f>SUMIF('Antelope Bailey Split BA'!$B$7:$B$29,B642,'Antelope Bailey Split BA'!$C$7:$C$29)</f>
        <v>0</v>
      </c>
      <c r="AC642" s="49" t="str">
        <f>IF(AND(AB642=1,'Plant Total by Account'!$H$1=2),"EKWRA","")</f>
        <v/>
      </c>
    </row>
    <row r="643" spans="1:29" x14ac:dyDescent="0.2">
      <c r="A643" s="39" t="s">
        <v>3141</v>
      </c>
      <c r="B643" s="45" t="s">
        <v>764</v>
      </c>
      <c r="C643" s="40" t="s">
        <v>3334</v>
      </c>
      <c r="D643" s="53">
        <v>130439.95</v>
      </c>
      <c r="E643" s="53">
        <v>291455.02</v>
      </c>
      <c r="F643" s="53">
        <v>6831480.1000000006</v>
      </c>
      <c r="G643" s="578">
        <f t="shared" si="83"/>
        <v>7253375.0700000003</v>
      </c>
      <c r="H643" s="41"/>
      <c r="I643" s="41"/>
      <c r="J643" s="41"/>
      <c r="K643" s="41">
        <f t="shared" si="85"/>
        <v>130439.95</v>
      </c>
      <c r="L643" s="41">
        <f t="shared" si="86"/>
        <v>291455.02</v>
      </c>
      <c r="M643" s="41">
        <f t="shared" si="87"/>
        <v>6831480.1000000006</v>
      </c>
      <c r="N643" s="363">
        <f t="shared" si="84"/>
        <v>0</v>
      </c>
      <c r="O643" s="43" t="s">
        <v>3309</v>
      </c>
      <c r="P643" s="43"/>
      <c r="R643" s="41">
        <f t="shared" si="80"/>
        <v>0</v>
      </c>
      <c r="S643" s="41">
        <f t="shared" si="81"/>
        <v>0</v>
      </c>
      <c r="T643" s="41">
        <f t="shared" si="82"/>
        <v>0</v>
      </c>
      <c r="U643" s="41"/>
      <c r="V643" s="44" t="str">
        <f>IF($P643="High",$S643,IF($P643="Mix",SUMIF('High_Low Voltage Mix Summary'!$B$10:$B$17,$B473,'High_Low Voltage Mix Summary'!$D$10:$D$17),""))</f>
        <v/>
      </c>
      <c r="W643" s="44" t="str">
        <f>IF($P643="Low",$S643,IF($P643="Mix",SUMIF('High_Low Voltage Mix Summary'!$B$10:$B$17,$B473,'High_Low Voltage Mix Summary'!$E$10:$E$17),""))</f>
        <v/>
      </c>
      <c r="X643" s="44" t="str">
        <f>IF($P643="High",$T643,IF($P643="Mix",SUMIF('High_Low Voltage Mix Summary'!$B$10:$B$17,$B473,'High_Low Voltage Mix Summary'!$F$10:$F$17),""))</f>
        <v/>
      </c>
      <c r="Y643" s="44" t="str">
        <f>IF($P643="Low",$T643,IF($P643="Mix",SUMIF('High_Low Voltage Mix Summary'!$B$10:$B$17,$B473,'High_Low Voltage Mix Summary'!$G$10:$G$17),""))</f>
        <v/>
      </c>
      <c r="Z643" s="44" t="str">
        <f>IF(OR($P643="High",$P643="Low"),"",IF($P643="Mix",SUMIF('High_Low Voltage Mix Summary'!$B$10:$B$17,$B473,'High_Low Voltage Mix Summary'!$H$10:$H$17),""))</f>
        <v/>
      </c>
      <c r="AB643" s="49">
        <f>SUMIF('Antelope Bailey Split BA'!$B$7:$B$29,B643,'Antelope Bailey Split BA'!$C$7:$C$29)</f>
        <v>0</v>
      </c>
      <c r="AC643" s="49" t="str">
        <f>IF(AND(AB643=1,'Plant Total by Account'!$H$1=2),"EKWRA","")</f>
        <v/>
      </c>
    </row>
    <row r="644" spans="1:29" x14ac:dyDescent="0.2">
      <c r="A644" s="39" t="s">
        <v>3142</v>
      </c>
      <c r="B644" s="45" t="s">
        <v>765</v>
      </c>
      <c r="C644" s="40" t="s">
        <v>3334</v>
      </c>
      <c r="D644" s="53">
        <v>95573.38</v>
      </c>
      <c r="E644" s="53">
        <v>58146.270000000004</v>
      </c>
      <c r="F644" s="53">
        <v>3793426.4600000004</v>
      </c>
      <c r="G644" s="578">
        <f t="shared" si="83"/>
        <v>3947146.1100000003</v>
      </c>
      <c r="H644" s="41"/>
      <c r="I644" s="41"/>
      <c r="J644" s="41"/>
      <c r="K644" s="41">
        <f t="shared" si="85"/>
        <v>95573.38</v>
      </c>
      <c r="L644" s="41">
        <f t="shared" si="86"/>
        <v>58146.270000000004</v>
      </c>
      <c r="M644" s="41">
        <f t="shared" si="87"/>
        <v>3793426.4600000004</v>
      </c>
      <c r="N644" s="363">
        <f t="shared" si="84"/>
        <v>0</v>
      </c>
      <c r="O644" s="43" t="s">
        <v>3309</v>
      </c>
      <c r="P644" s="43"/>
      <c r="R644" s="41">
        <f t="shared" si="80"/>
        <v>0</v>
      </c>
      <c r="S644" s="41">
        <f t="shared" si="81"/>
        <v>0</v>
      </c>
      <c r="T644" s="41">
        <f t="shared" si="82"/>
        <v>0</v>
      </c>
      <c r="U644" s="41"/>
      <c r="V644" s="44" t="str">
        <f>IF($P644="High",$S644,IF($P644="Mix",SUMIF('High_Low Voltage Mix Summary'!$B$10:$B$17,#REF!,'High_Low Voltage Mix Summary'!$D$10:$D$17),""))</f>
        <v/>
      </c>
      <c r="W644" s="44" t="str">
        <f>IF($P644="Low",$S644,IF($P644="Mix",SUMIF('High_Low Voltage Mix Summary'!$B$10:$B$17,#REF!,'High_Low Voltage Mix Summary'!$E$10:$E$17),""))</f>
        <v/>
      </c>
      <c r="X644" s="44" t="str">
        <f>IF($P644="High",$T644,IF($P644="Mix",SUMIF('High_Low Voltage Mix Summary'!$B$10:$B$17,#REF!,'High_Low Voltage Mix Summary'!$F$10:$F$17),""))</f>
        <v/>
      </c>
      <c r="Y644" s="44" t="str">
        <f>IF($P644="Low",$T644,IF($P644="Mix",SUMIF('High_Low Voltage Mix Summary'!$B$10:$B$17,#REF!,'High_Low Voltage Mix Summary'!$G$10:$G$17),""))</f>
        <v/>
      </c>
      <c r="Z644" s="44" t="str">
        <f>IF(OR($P644="High",$P644="Low"),"",IF($P644="Mix",SUMIF('High_Low Voltage Mix Summary'!$B$10:$B$17,#REF!,'High_Low Voltage Mix Summary'!$H$10:$H$17),""))</f>
        <v/>
      </c>
      <c r="AB644" s="49">
        <f>SUMIF('Antelope Bailey Split BA'!$B$7:$B$29,B644,'Antelope Bailey Split BA'!$C$7:$C$29)</f>
        <v>0</v>
      </c>
      <c r="AC644" s="49" t="str">
        <f>IF(AND(AB644=1,'Plant Total by Account'!$H$1=2),"EKWRA","")</f>
        <v/>
      </c>
    </row>
    <row r="645" spans="1:29" x14ac:dyDescent="0.2">
      <c r="A645" s="39" t="s">
        <v>3143</v>
      </c>
      <c r="B645" s="45" t="s">
        <v>766</v>
      </c>
      <c r="C645" s="40" t="s">
        <v>3333</v>
      </c>
      <c r="D645" s="53">
        <v>7596.16</v>
      </c>
      <c r="E645" s="53">
        <v>30895.119999999999</v>
      </c>
      <c r="F645" s="53">
        <v>270221.94</v>
      </c>
      <c r="G645" s="578">
        <f t="shared" si="83"/>
        <v>308713.21999999997</v>
      </c>
      <c r="H645" s="41"/>
      <c r="I645" s="41"/>
      <c r="J645" s="41"/>
      <c r="K645" s="41">
        <f t="shared" si="85"/>
        <v>7596.16</v>
      </c>
      <c r="L645" s="41">
        <f t="shared" si="86"/>
        <v>30895.119999999999</v>
      </c>
      <c r="M645" s="41">
        <f t="shared" si="87"/>
        <v>270221.94</v>
      </c>
      <c r="N645" s="363">
        <f t="shared" si="84"/>
        <v>0</v>
      </c>
      <c r="O645" s="43" t="s">
        <v>3309</v>
      </c>
      <c r="P645" s="43"/>
      <c r="R645" s="41">
        <f t="shared" si="80"/>
        <v>0</v>
      </c>
      <c r="S645" s="41">
        <f t="shared" si="81"/>
        <v>0</v>
      </c>
      <c r="T645" s="41">
        <f t="shared" si="82"/>
        <v>0</v>
      </c>
      <c r="U645" s="41"/>
      <c r="V645" s="44" t="str">
        <f>IF($P645="High",$S645,IF($P645="Mix",SUMIF('High_Low Voltage Mix Summary'!$B$10:$B$17,#REF!,'High_Low Voltage Mix Summary'!$D$10:$D$17),""))</f>
        <v/>
      </c>
      <c r="W645" s="44" t="str">
        <f>IF($P645="Low",$S645,IF($P645="Mix",SUMIF('High_Low Voltage Mix Summary'!$B$10:$B$17,#REF!,'High_Low Voltage Mix Summary'!$E$10:$E$17),""))</f>
        <v/>
      </c>
      <c r="X645" s="44" t="str">
        <f>IF($P645="High",$T645,IF($P645="Mix",SUMIF('High_Low Voltage Mix Summary'!$B$10:$B$17,#REF!,'High_Low Voltage Mix Summary'!$F$10:$F$17),""))</f>
        <v/>
      </c>
      <c r="Y645" s="44" t="str">
        <f>IF($P645="Low",$T645,IF($P645="Mix",SUMIF('High_Low Voltage Mix Summary'!$B$10:$B$17,#REF!,'High_Low Voltage Mix Summary'!$G$10:$G$17),""))</f>
        <v/>
      </c>
      <c r="Z645" s="44" t="str">
        <f>IF(OR($P645="High",$P645="Low"),"",IF($P645="Mix",SUMIF('High_Low Voltage Mix Summary'!$B$10:$B$17,#REF!,'High_Low Voltage Mix Summary'!$H$10:$H$17),""))</f>
        <v/>
      </c>
      <c r="AB645" s="49">
        <f>SUMIF('Antelope Bailey Split BA'!$B$7:$B$29,B645,'Antelope Bailey Split BA'!$C$7:$C$29)</f>
        <v>0</v>
      </c>
      <c r="AC645" s="49" t="str">
        <f>IF(AND(AB645=1,'Plant Total by Account'!$H$1=2),"EKWRA","")</f>
        <v/>
      </c>
    </row>
    <row r="646" spans="1:29" x14ac:dyDescent="0.2">
      <c r="A646" s="39" t="s">
        <v>2468</v>
      </c>
      <c r="B646" s="45" t="s">
        <v>767</v>
      </c>
      <c r="C646" s="40" t="s">
        <v>3334</v>
      </c>
      <c r="D646" s="53">
        <v>94824.91</v>
      </c>
      <c r="E646" s="53">
        <v>67191.45</v>
      </c>
      <c r="F646" s="53">
        <v>1760256.5600000017</v>
      </c>
      <c r="G646" s="578">
        <f t="shared" si="83"/>
        <v>1922272.9200000018</v>
      </c>
      <c r="H646" s="41"/>
      <c r="I646" s="41"/>
      <c r="J646" s="41"/>
      <c r="K646" s="41">
        <f t="shared" si="85"/>
        <v>94824.91</v>
      </c>
      <c r="L646" s="41">
        <f t="shared" si="86"/>
        <v>67191.45</v>
      </c>
      <c r="M646" s="41">
        <f t="shared" si="87"/>
        <v>1760256.5600000017</v>
      </c>
      <c r="N646" s="363">
        <f t="shared" si="84"/>
        <v>0</v>
      </c>
      <c r="O646" s="43" t="s">
        <v>3309</v>
      </c>
      <c r="P646" s="43"/>
      <c r="R646" s="41">
        <f t="shared" ref="R646:R678" si="88">SUM(H646:J646)</f>
        <v>0</v>
      </c>
      <c r="S646" s="41">
        <f t="shared" ref="S646:S678" si="89">H646</f>
        <v>0</v>
      </c>
      <c r="T646" s="41">
        <f t="shared" ref="T646:T678" si="90">SUM(I646:J646)</f>
        <v>0</v>
      </c>
      <c r="U646" s="41"/>
      <c r="V646" s="44" t="str">
        <f>IF($P646="High",$S646,IF($P646="Mix",SUMIF('High_Low Voltage Mix Summary'!$B$10:$B$17,$B474,'High_Low Voltage Mix Summary'!$D$10:$D$17),""))</f>
        <v/>
      </c>
      <c r="W646" s="44" t="str">
        <f>IF($P646="Low",$S646,IF($P646="Mix",SUMIF('High_Low Voltage Mix Summary'!$B$10:$B$17,$B474,'High_Low Voltage Mix Summary'!$E$10:$E$17),""))</f>
        <v/>
      </c>
      <c r="X646" s="44" t="str">
        <f>IF($P646="High",$T646,IF($P646="Mix",SUMIF('High_Low Voltage Mix Summary'!$B$10:$B$17,$B474,'High_Low Voltage Mix Summary'!$F$10:$F$17),""))</f>
        <v/>
      </c>
      <c r="Y646" s="44" t="str">
        <f>IF($P646="Low",$T646,IF($P646="Mix",SUMIF('High_Low Voltage Mix Summary'!$B$10:$B$17,$B474,'High_Low Voltage Mix Summary'!$G$10:$G$17),""))</f>
        <v/>
      </c>
      <c r="Z646" s="44" t="str">
        <f>IF(OR($P646="High",$P646="Low"),"",IF($P646="Mix",SUMIF('High_Low Voltage Mix Summary'!$B$10:$B$17,$B474,'High_Low Voltage Mix Summary'!$H$10:$H$17),""))</f>
        <v/>
      </c>
      <c r="AB646" s="49">
        <f>SUMIF('Antelope Bailey Split BA'!$B$7:$B$29,B646,'Antelope Bailey Split BA'!$C$7:$C$29)</f>
        <v>0</v>
      </c>
      <c r="AC646" s="49" t="str">
        <f>IF(AND(AB646=1,'Plant Total by Account'!$H$1=2),"EKWRA","")</f>
        <v/>
      </c>
    </row>
    <row r="647" spans="1:29" x14ac:dyDescent="0.2">
      <c r="A647" s="39" t="s">
        <v>3144</v>
      </c>
      <c r="B647" s="45" t="s">
        <v>768</v>
      </c>
      <c r="C647" s="40" t="s">
        <v>3334</v>
      </c>
      <c r="D647" s="53">
        <v>143290.5</v>
      </c>
      <c r="E647" s="53">
        <v>120786.11</v>
      </c>
      <c r="F647" s="53">
        <v>4712136.620000001</v>
      </c>
      <c r="G647" s="578">
        <f t="shared" si="83"/>
        <v>4976213.2300000014</v>
      </c>
      <c r="H647" s="41"/>
      <c r="I647" s="41"/>
      <c r="J647" s="41"/>
      <c r="K647" s="41">
        <f t="shared" si="85"/>
        <v>143290.5</v>
      </c>
      <c r="L647" s="41">
        <f t="shared" si="86"/>
        <v>120786.11</v>
      </c>
      <c r="M647" s="41">
        <f t="shared" si="87"/>
        <v>4712136.620000001</v>
      </c>
      <c r="N647" s="363">
        <f t="shared" si="84"/>
        <v>0</v>
      </c>
      <c r="O647" s="43" t="s">
        <v>3309</v>
      </c>
      <c r="P647" s="43"/>
      <c r="R647" s="41">
        <f t="shared" si="88"/>
        <v>0</v>
      </c>
      <c r="S647" s="41">
        <f t="shared" si="89"/>
        <v>0</v>
      </c>
      <c r="T647" s="41">
        <f t="shared" si="90"/>
        <v>0</v>
      </c>
      <c r="U647" s="41"/>
      <c r="V647" s="44" t="str">
        <f>IF($P647="High",$S647,IF($P647="Mix",SUMIF('High_Low Voltage Mix Summary'!$B$10:$B$17,$B475,'High_Low Voltage Mix Summary'!$D$10:$D$17),""))</f>
        <v/>
      </c>
      <c r="W647" s="44" t="str">
        <f>IF($P647="Low",$S647,IF($P647="Mix",SUMIF('High_Low Voltage Mix Summary'!$B$10:$B$17,$B475,'High_Low Voltage Mix Summary'!$E$10:$E$17),""))</f>
        <v/>
      </c>
      <c r="X647" s="44" t="str">
        <f>IF($P647="High",$T647,IF($P647="Mix",SUMIF('High_Low Voltage Mix Summary'!$B$10:$B$17,$B475,'High_Low Voltage Mix Summary'!$F$10:$F$17),""))</f>
        <v/>
      </c>
      <c r="Y647" s="44" t="str">
        <f>IF($P647="Low",$T647,IF($P647="Mix",SUMIF('High_Low Voltage Mix Summary'!$B$10:$B$17,$B475,'High_Low Voltage Mix Summary'!$G$10:$G$17),""))</f>
        <v/>
      </c>
      <c r="Z647" s="44" t="str">
        <f>IF(OR($P647="High",$P647="Low"),"",IF($P647="Mix",SUMIF('High_Low Voltage Mix Summary'!$B$10:$B$17,$B475,'High_Low Voltage Mix Summary'!$H$10:$H$17),""))</f>
        <v/>
      </c>
      <c r="AB647" s="49">
        <f>SUMIF('Antelope Bailey Split BA'!$B$7:$B$29,B647,'Antelope Bailey Split BA'!$C$7:$C$29)</f>
        <v>0</v>
      </c>
      <c r="AC647" s="49" t="str">
        <f>IF(AND(AB647=1,'Plant Total by Account'!$H$1=2),"EKWRA","")</f>
        <v/>
      </c>
    </row>
    <row r="648" spans="1:29" x14ac:dyDescent="0.2">
      <c r="A648" s="39" t="s">
        <v>3145</v>
      </c>
      <c r="B648" s="45" t="s">
        <v>769</v>
      </c>
      <c r="C648" s="40" t="s">
        <v>3334</v>
      </c>
      <c r="D648" s="53">
        <v>0</v>
      </c>
      <c r="E648" s="53">
        <v>25437.19</v>
      </c>
      <c r="F648" s="53">
        <v>595497.28999999992</v>
      </c>
      <c r="G648" s="578">
        <f t="shared" si="83"/>
        <v>620934.47999999986</v>
      </c>
      <c r="H648" s="41"/>
      <c r="I648" s="41"/>
      <c r="J648" s="41"/>
      <c r="K648" s="41">
        <f t="shared" si="85"/>
        <v>0</v>
      </c>
      <c r="L648" s="41">
        <f t="shared" si="86"/>
        <v>25437.19</v>
      </c>
      <c r="M648" s="41">
        <f t="shared" si="87"/>
        <v>595497.28999999992</v>
      </c>
      <c r="N648" s="363">
        <f t="shared" si="84"/>
        <v>0</v>
      </c>
      <c r="O648" s="43" t="s">
        <v>3309</v>
      </c>
      <c r="P648" s="43"/>
      <c r="R648" s="41">
        <f t="shared" si="88"/>
        <v>0</v>
      </c>
      <c r="S648" s="41">
        <f t="shared" si="89"/>
        <v>0</v>
      </c>
      <c r="T648" s="41">
        <f t="shared" si="90"/>
        <v>0</v>
      </c>
      <c r="U648" s="41"/>
      <c r="V648" s="44" t="str">
        <f>IF($P648="High",$S648,IF($P648="Mix",SUMIF('High_Low Voltage Mix Summary'!$B$10:$B$17,#REF!,'High_Low Voltage Mix Summary'!$D$10:$D$17),""))</f>
        <v/>
      </c>
      <c r="W648" s="44" t="str">
        <f>IF($P648="Low",$S648,IF($P648="Mix",SUMIF('High_Low Voltage Mix Summary'!$B$10:$B$17,#REF!,'High_Low Voltage Mix Summary'!$E$10:$E$17),""))</f>
        <v/>
      </c>
      <c r="X648" s="44" t="str">
        <f>IF($P648="High",$T648,IF($P648="Mix",SUMIF('High_Low Voltage Mix Summary'!$B$10:$B$17,#REF!,'High_Low Voltage Mix Summary'!$F$10:$F$17),""))</f>
        <v/>
      </c>
      <c r="Y648" s="44" t="str">
        <f>IF($P648="Low",$T648,IF($P648="Mix",SUMIF('High_Low Voltage Mix Summary'!$B$10:$B$17,#REF!,'High_Low Voltage Mix Summary'!$G$10:$G$17),""))</f>
        <v/>
      </c>
      <c r="Z648" s="44" t="str">
        <f>IF(OR($P648="High",$P648="Low"),"",IF($P648="Mix",SUMIF('High_Low Voltage Mix Summary'!$B$10:$B$17,#REF!,'High_Low Voltage Mix Summary'!$H$10:$H$17),""))</f>
        <v/>
      </c>
      <c r="AB648" s="49">
        <f>SUMIF('Antelope Bailey Split BA'!$B$7:$B$29,B648,'Antelope Bailey Split BA'!$C$7:$C$29)</f>
        <v>0</v>
      </c>
      <c r="AC648" s="49" t="str">
        <f>IF(AND(AB648=1,'Plant Total by Account'!$H$1=2),"EKWRA","")</f>
        <v/>
      </c>
    </row>
    <row r="649" spans="1:29" x14ac:dyDescent="0.2">
      <c r="A649" s="39" t="s">
        <v>3146</v>
      </c>
      <c r="B649" s="45" t="s">
        <v>770</v>
      </c>
      <c r="C649" s="40" t="s">
        <v>3334</v>
      </c>
      <c r="D649" s="53">
        <v>109897.48</v>
      </c>
      <c r="E649" s="53">
        <v>143368.49000000002</v>
      </c>
      <c r="F649" s="53">
        <v>5449844.9400000013</v>
      </c>
      <c r="G649" s="578">
        <f t="shared" si="83"/>
        <v>5703110.9100000011</v>
      </c>
      <c r="H649" s="41"/>
      <c r="I649" s="41"/>
      <c r="J649" s="41"/>
      <c r="K649" s="41">
        <f t="shared" si="85"/>
        <v>109897.48</v>
      </c>
      <c r="L649" s="41">
        <f t="shared" si="86"/>
        <v>143368.49000000002</v>
      </c>
      <c r="M649" s="41">
        <f t="shared" si="87"/>
        <v>5449844.9400000013</v>
      </c>
      <c r="N649" s="363">
        <f t="shared" si="84"/>
        <v>0</v>
      </c>
      <c r="O649" s="43" t="s">
        <v>3309</v>
      </c>
      <c r="P649" s="43"/>
      <c r="R649" s="41">
        <f t="shared" si="88"/>
        <v>0</v>
      </c>
      <c r="S649" s="41">
        <f t="shared" si="89"/>
        <v>0</v>
      </c>
      <c r="T649" s="41">
        <f t="shared" si="90"/>
        <v>0</v>
      </c>
      <c r="U649" s="41"/>
      <c r="V649" s="44" t="str">
        <f>IF($P649="High",$S649,IF($P649="Mix",SUMIF('High_Low Voltage Mix Summary'!$B$10:$B$17,$B476,'High_Low Voltage Mix Summary'!$D$10:$D$17),""))</f>
        <v/>
      </c>
      <c r="W649" s="44" t="str">
        <f>IF($P649="Low",$S649,IF($P649="Mix",SUMIF('High_Low Voltage Mix Summary'!$B$10:$B$17,$B476,'High_Low Voltage Mix Summary'!$E$10:$E$17),""))</f>
        <v/>
      </c>
      <c r="X649" s="44" t="str">
        <f>IF($P649="High",$T649,IF($P649="Mix",SUMIF('High_Low Voltage Mix Summary'!$B$10:$B$17,$B476,'High_Low Voltage Mix Summary'!$F$10:$F$17),""))</f>
        <v/>
      </c>
      <c r="Y649" s="44" t="str">
        <f>IF($P649="Low",$T649,IF($P649="Mix",SUMIF('High_Low Voltage Mix Summary'!$B$10:$B$17,$B476,'High_Low Voltage Mix Summary'!$G$10:$G$17),""))</f>
        <v/>
      </c>
      <c r="Z649" s="44" t="str">
        <f>IF(OR($P649="High",$P649="Low"),"",IF($P649="Mix",SUMIF('High_Low Voltage Mix Summary'!$B$10:$B$17,$B476,'High_Low Voltage Mix Summary'!$H$10:$H$17),""))</f>
        <v/>
      </c>
      <c r="AB649" s="49">
        <f>SUMIF('Antelope Bailey Split BA'!$B$7:$B$29,B649,'Antelope Bailey Split BA'!$C$7:$C$29)</f>
        <v>0</v>
      </c>
      <c r="AC649" s="49" t="str">
        <f>IF(AND(AB649=1,'Plant Total by Account'!$H$1=2),"EKWRA","")</f>
        <v/>
      </c>
    </row>
    <row r="650" spans="1:29" x14ac:dyDescent="0.2">
      <c r="A650" s="39" t="s">
        <v>3147</v>
      </c>
      <c r="B650" s="45" t="s">
        <v>771</v>
      </c>
      <c r="C650" s="40" t="s">
        <v>3334</v>
      </c>
      <c r="D650" s="53">
        <v>8903.340000000002</v>
      </c>
      <c r="E650" s="53">
        <v>33017.81</v>
      </c>
      <c r="F650" s="53">
        <v>1723211.4099999978</v>
      </c>
      <c r="G650" s="578">
        <f t="shared" ref="G650:G713" si="91">SUM(D650:F650)</f>
        <v>1765132.5599999977</v>
      </c>
      <c r="H650" s="41"/>
      <c r="I650" s="41"/>
      <c r="J650" s="41"/>
      <c r="K650" s="41">
        <f t="shared" si="85"/>
        <v>8903.340000000002</v>
      </c>
      <c r="L650" s="41">
        <f t="shared" si="86"/>
        <v>33017.81</v>
      </c>
      <c r="M650" s="41">
        <f t="shared" si="87"/>
        <v>1723211.4099999978</v>
      </c>
      <c r="N650" s="363">
        <f t="shared" ref="N650:N713" si="92">G650-SUM(H650:M650)</f>
        <v>0</v>
      </c>
      <c r="O650" s="43" t="s">
        <v>3309</v>
      </c>
      <c r="P650" s="43"/>
      <c r="R650" s="41">
        <f t="shared" si="88"/>
        <v>0</v>
      </c>
      <c r="S650" s="41">
        <f t="shared" si="89"/>
        <v>0</v>
      </c>
      <c r="T650" s="41">
        <f t="shared" si="90"/>
        <v>0</v>
      </c>
      <c r="U650" s="41"/>
      <c r="V650" s="44" t="str">
        <f>IF($P650="High",$S650,IF($P650="Mix",SUMIF('High_Low Voltage Mix Summary'!$B$10:$B$17,$B477,'High_Low Voltage Mix Summary'!$D$10:$D$17),""))</f>
        <v/>
      </c>
      <c r="W650" s="44" t="str">
        <f>IF($P650="Low",$S650,IF($P650="Mix",SUMIF('High_Low Voltage Mix Summary'!$B$10:$B$17,$B477,'High_Low Voltage Mix Summary'!$E$10:$E$17),""))</f>
        <v/>
      </c>
      <c r="X650" s="44" t="str">
        <f>IF($P650="High",$T650,IF($P650="Mix",SUMIF('High_Low Voltage Mix Summary'!$B$10:$B$17,$B477,'High_Low Voltage Mix Summary'!$F$10:$F$17),""))</f>
        <v/>
      </c>
      <c r="Y650" s="44" t="str">
        <f>IF($P650="Low",$T650,IF($P650="Mix",SUMIF('High_Low Voltage Mix Summary'!$B$10:$B$17,$B477,'High_Low Voltage Mix Summary'!$G$10:$G$17),""))</f>
        <v/>
      </c>
      <c r="Z650" s="44" t="str">
        <f>IF(OR($P650="High",$P650="Low"),"",IF($P650="Mix",SUMIF('High_Low Voltage Mix Summary'!$B$10:$B$17,$B477,'High_Low Voltage Mix Summary'!$H$10:$H$17),""))</f>
        <v/>
      </c>
      <c r="AB650" s="49">
        <f>SUMIF('Antelope Bailey Split BA'!$B$7:$B$29,B650,'Antelope Bailey Split BA'!$C$7:$C$29)</f>
        <v>0</v>
      </c>
      <c r="AC650" s="49" t="str">
        <f>IF(AND(AB650=1,'Plant Total by Account'!$H$1=2),"EKWRA","")</f>
        <v/>
      </c>
    </row>
    <row r="651" spans="1:29" x14ac:dyDescent="0.2">
      <c r="A651" s="39" t="s">
        <v>3148</v>
      </c>
      <c r="B651" s="45" t="s">
        <v>772</v>
      </c>
      <c r="C651" s="40" t="s">
        <v>3334</v>
      </c>
      <c r="D651" s="53">
        <v>100887.79</v>
      </c>
      <c r="E651" s="53">
        <v>183682.07</v>
      </c>
      <c r="F651" s="53">
        <v>6352773.2000000048</v>
      </c>
      <c r="G651" s="578">
        <f t="shared" si="91"/>
        <v>6637343.0600000052</v>
      </c>
      <c r="H651" s="41"/>
      <c r="I651" s="41"/>
      <c r="J651" s="41"/>
      <c r="K651" s="41">
        <f t="shared" si="85"/>
        <v>100887.79</v>
      </c>
      <c r="L651" s="41">
        <f t="shared" si="86"/>
        <v>183682.07</v>
      </c>
      <c r="M651" s="41">
        <f t="shared" si="87"/>
        <v>6352773.2000000048</v>
      </c>
      <c r="N651" s="363">
        <f t="shared" si="92"/>
        <v>0</v>
      </c>
      <c r="O651" s="43" t="s">
        <v>3309</v>
      </c>
      <c r="P651" s="43"/>
      <c r="R651" s="41">
        <f t="shared" si="88"/>
        <v>0</v>
      </c>
      <c r="S651" s="41">
        <f t="shared" si="89"/>
        <v>0</v>
      </c>
      <c r="T651" s="41">
        <f t="shared" si="90"/>
        <v>0</v>
      </c>
      <c r="U651" s="41"/>
      <c r="V651" s="44" t="str">
        <f>IF($P651="High",$S651,IF($P651="Mix",SUMIF('High_Low Voltage Mix Summary'!$B$10:$B$17,$B478,'High_Low Voltage Mix Summary'!$D$10:$D$17),""))</f>
        <v/>
      </c>
      <c r="W651" s="44" t="str">
        <f>IF($P651="Low",$S651,IF($P651="Mix",SUMIF('High_Low Voltage Mix Summary'!$B$10:$B$17,$B478,'High_Low Voltage Mix Summary'!$E$10:$E$17),""))</f>
        <v/>
      </c>
      <c r="X651" s="44" t="str">
        <f>IF($P651="High",$T651,IF($P651="Mix",SUMIF('High_Low Voltage Mix Summary'!$B$10:$B$17,$B478,'High_Low Voltage Mix Summary'!$F$10:$F$17),""))</f>
        <v/>
      </c>
      <c r="Y651" s="44" t="str">
        <f>IF($P651="Low",$T651,IF($P651="Mix",SUMIF('High_Low Voltage Mix Summary'!$B$10:$B$17,$B478,'High_Low Voltage Mix Summary'!$G$10:$G$17),""))</f>
        <v/>
      </c>
      <c r="Z651" s="44" t="str">
        <f>IF(OR($P651="High",$P651="Low"),"",IF($P651="Mix",SUMIF('High_Low Voltage Mix Summary'!$B$10:$B$17,$B478,'High_Low Voltage Mix Summary'!$H$10:$H$17),""))</f>
        <v/>
      </c>
      <c r="AB651" s="49">
        <f>SUMIF('Antelope Bailey Split BA'!$B$7:$B$29,B651,'Antelope Bailey Split BA'!$C$7:$C$29)</f>
        <v>0</v>
      </c>
      <c r="AC651" s="49" t="str">
        <f>IF(AND(AB651=1,'Plant Total by Account'!$H$1=2),"EKWRA","")</f>
        <v/>
      </c>
    </row>
    <row r="652" spans="1:29" x14ac:dyDescent="0.2">
      <c r="A652" s="39" t="s">
        <v>3149</v>
      </c>
      <c r="B652" s="45" t="s">
        <v>773</v>
      </c>
      <c r="C652" s="40" t="s">
        <v>3333</v>
      </c>
      <c r="D652" s="53">
        <v>11499.14</v>
      </c>
      <c r="E652" s="53">
        <v>53437.889999999992</v>
      </c>
      <c r="F652" s="53">
        <v>1571827.0300000007</v>
      </c>
      <c r="G652" s="578">
        <f t="shared" si="91"/>
        <v>1636764.0600000008</v>
      </c>
      <c r="H652" s="41"/>
      <c r="I652" s="41"/>
      <c r="J652" s="41"/>
      <c r="K652" s="41">
        <f t="shared" si="85"/>
        <v>11499.14</v>
      </c>
      <c r="L652" s="41">
        <f t="shared" si="86"/>
        <v>53437.889999999992</v>
      </c>
      <c r="M652" s="41">
        <f t="shared" si="87"/>
        <v>1571827.0300000007</v>
      </c>
      <c r="N652" s="363">
        <f t="shared" si="92"/>
        <v>0</v>
      </c>
      <c r="O652" s="43" t="s">
        <v>3309</v>
      </c>
      <c r="P652" s="43"/>
      <c r="R652" s="41">
        <f t="shared" si="88"/>
        <v>0</v>
      </c>
      <c r="S652" s="41">
        <f t="shared" si="89"/>
        <v>0</v>
      </c>
      <c r="T652" s="41">
        <f t="shared" si="90"/>
        <v>0</v>
      </c>
      <c r="U652" s="41"/>
      <c r="V652" s="44" t="str">
        <f>IF($P652="High",$S652,IF($P652="Mix",SUMIF('High_Low Voltage Mix Summary'!$B$10:$B$17,$B479,'High_Low Voltage Mix Summary'!$D$10:$D$17),""))</f>
        <v/>
      </c>
      <c r="W652" s="44" t="str">
        <f>IF($P652="Low",$S652,IF($P652="Mix",SUMIF('High_Low Voltage Mix Summary'!$B$10:$B$17,$B479,'High_Low Voltage Mix Summary'!$E$10:$E$17),""))</f>
        <v/>
      </c>
      <c r="X652" s="44" t="str">
        <f>IF($P652="High",$T652,IF($P652="Mix",SUMIF('High_Low Voltage Mix Summary'!$B$10:$B$17,$B479,'High_Low Voltage Mix Summary'!$F$10:$F$17),""))</f>
        <v/>
      </c>
      <c r="Y652" s="44" t="str">
        <f>IF($P652="Low",$T652,IF($P652="Mix",SUMIF('High_Low Voltage Mix Summary'!$B$10:$B$17,$B479,'High_Low Voltage Mix Summary'!$G$10:$G$17),""))</f>
        <v/>
      </c>
      <c r="Z652" s="44" t="str">
        <f>IF(OR($P652="High",$P652="Low"),"",IF($P652="Mix",SUMIF('High_Low Voltage Mix Summary'!$B$10:$B$17,$B479,'High_Low Voltage Mix Summary'!$H$10:$H$17),""))</f>
        <v/>
      </c>
      <c r="AB652" s="49">
        <f>SUMIF('Antelope Bailey Split BA'!$B$7:$B$29,B652,'Antelope Bailey Split BA'!$C$7:$C$29)</f>
        <v>0</v>
      </c>
      <c r="AC652" s="49" t="str">
        <f>IF(AND(AB652=1,'Plant Total by Account'!$H$1=2),"EKWRA","")</f>
        <v/>
      </c>
    </row>
    <row r="653" spans="1:29" x14ac:dyDescent="0.2">
      <c r="A653" s="39" t="s">
        <v>2469</v>
      </c>
      <c r="B653" s="45" t="s">
        <v>774</v>
      </c>
      <c r="C653" s="40" t="s">
        <v>3334</v>
      </c>
      <c r="D653" s="53">
        <v>0</v>
      </c>
      <c r="E653" s="53">
        <v>84594.51</v>
      </c>
      <c r="F653" s="53">
        <v>0</v>
      </c>
      <c r="G653" s="578">
        <f t="shared" si="91"/>
        <v>84594.51</v>
      </c>
      <c r="H653" s="41"/>
      <c r="I653" s="41"/>
      <c r="J653" s="41"/>
      <c r="K653" s="41">
        <f t="shared" si="85"/>
        <v>0</v>
      </c>
      <c r="L653" s="41">
        <f t="shared" si="86"/>
        <v>84594.51</v>
      </c>
      <c r="M653" s="41">
        <f t="shared" si="87"/>
        <v>0</v>
      </c>
      <c r="N653" s="363">
        <f t="shared" si="92"/>
        <v>0</v>
      </c>
      <c r="O653" s="43" t="s">
        <v>3309</v>
      </c>
      <c r="P653" s="43"/>
      <c r="R653" s="41">
        <f t="shared" si="88"/>
        <v>0</v>
      </c>
      <c r="S653" s="41">
        <f t="shared" si="89"/>
        <v>0</v>
      </c>
      <c r="T653" s="41">
        <f t="shared" si="90"/>
        <v>0</v>
      </c>
      <c r="U653" s="41"/>
      <c r="V653" s="44" t="str">
        <f>IF($P653="High",$S653,IF($P653="Mix",SUMIF('High_Low Voltage Mix Summary'!$B$10:$B$17,$B480,'High_Low Voltage Mix Summary'!$D$10:$D$17),""))</f>
        <v/>
      </c>
      <c r="W653" s="44" t="str">
        <f>IF($P653="Low",$S653,IF($P653="Mix",SUMIF('High_Low Voltage Mix Summary'!$B$10:$B$17,$B480,'High_Low Voltage Mix Summary'!$E$10:$E$17),""))</f>
        <v/>
      </c>
      <c r="X653" s="44" t="str">
        <f>IF($P653="High",$T653,IF($P653="Mix",SUMIF('High_Low Voltage Mix Summary'!$B$10:$B$17,$B480,'High_Low Voltage Mix Summary'!$F$10:$F$17),""))</f>
        <v/>
      </c>
      <c r="Y653" s="44" t="str">
        <f>IF($P653="Low",$T653,IF($P653="Mix",SUMIF('High_Low Voltage Mix Summary'!$B$10:$B$17,$B480,'High_Low Voltage Mix Summary'!$G$10:$G$17),""))</f>
        <v/>
      </c>
      <c r="Z653" s="44" t="str">
        <f>IF(OR($P653="High",$P653="Low"),"",IF($P653="Mix",SUMIF('High_Low Voltage Mix Summary'!$B$10:$B$17,$B480,'High_Low Voltage Mix Summary'!$H$10:$H$17),""))</f>
        <v/>
      </c>
      <c r="AB653" s="49">
        <f>SUMIF('Antelope Bailey Split BA'!$B$7:$B$29,B653,'Antelope Bailey Split BA'!$C$7:$C$29)</f>
        <v>0</v>
      </c>
      <c r="AC653" s="49" t="str">
        <f>IF(AND(AB653=1,'Plant Total by Account'!$H$1=2),"EKWRA","")</f>
        <v/>
      </c>
    </row>
    <row r="654" spans="1:29" x14ac:dyDescent="0.2">
      <c r="A654" s="39" t="s">
        <v>3150</v>
      </c>
      <c r="B654" s="45" t="s">
        <v>775</v>
      </c>
      <c r="C654" s="40" t="s">
        <v>3334</v>
      </c>
      <c r="D654" s="53">
        <v>72333.119999999995</v>
      </c>
      <c r="E654" s="53">
        <v>301728.88</v>
      </c>
      <c r="F654" s="53">
        <v>10334121.829999993</v>
      </c>
      <c r="G654" s="578">
        <f t="shared" si="91"/>
        <v>10708183.829999993</v>
      </c>
      <c r="H654" s="41"/>
      <c r="I654" s="41"/>
      <c r="J654" s="41"/>
      <c r="K654" s="41">
        <f t="shared" ref="K654:K717" si="93">D654</f>
        <v>72333.119999999995</v>
      </c>
      <c r="L654" s="41">
        <f t="shared" ref="L654:L717" si="94">E654</f>
        <v>301728.88</v>
      </c>
      <c r="M654" s="41">
        <f t="shared" ref="M654:M717" si="95">F654</f>
        <v>10334121.829999993</v>
      </c>
      <c r="N654" s="363">
        <f t="shared" si="92"/>
        <v>0</v>
      </c>
      <c r="O654" s="43" t="s">
        <v>3309</v>
      </c>
      <c r="P654" s="43"/>
      <c r="R654" s="41">
        <f t="shared" si="88"/>
        <v>0</v>
      </c>
      <c r="S654" s="41">
        <f t="shared" si="89"/>
        <v>0</v>
      </c>
      <c r="T654" s="41">
        <f t="shared" si="90"/>
        <v>0</v>
      </c>
      <c r="U654" s="41"/>
      <c r="V654" s="44" t="str">
        <f>IF($P654="High",$S654,IF($P654="Mix",SUMIF('High_Low Voltage Mix Summary'!$B$10:$B$17,$B481,'High_Low Voltage Mix Summary'!$D$10:$D$17),""))</f>
        <v/>
      </c>
      <c r="W654" s="44" t="str">
        <f>IF($P654="Low",$S654,IF($P654="Mix",SUMIF('High_Low Voltage Mix Summary'!$B$10:$B$17,$B481,'High_Low Voltage Mix Summary'!$E$10:$E$17),""))</f>
        <v/>
      </c>
      <c r="X654" s="44" t="str">
        <f>IF($P654="High",$T654,IF($P654="Mix",SUMIF('High_Low Voltage Mix Summary'!$B$10:$B$17,$B481,'High_Low Voltage Mix Summary'!$F$10:$F$17),""))</f>
        <v/>
      </c>
      <c r="Y654" s="44" t="str">
        <f>IF($P654="Low",$T654,IF($P654="Mix",SUMIF('High_Low Voltage Mix Summary'!$B$10:$B$17,$B481,'High_Low Voltage Mix Summary'!$G$10:$G$17),""))</f>
        <v/>
      </c>
      <c r="Z654" s="44" t="str">
        <f>IF(OR($P654="High",$P654="Low"),"",IF($P654="Mix",SUMIF('High_Low Voltage Mix Summary'!$B$10:$B$17,$B481,'High_Low Voltage Mix Summary'!$H$10:$H$17),""))</f>
        <v/>
      </c>
      <c r="AB654" s="49">
        <f>SUMIF('Antelope Bailey Split BA'!$B$7:$B$29,B654,'Antelope Bailey Split BA'!$C$7:$C$29)</f>
        <v>0</v>
      </c>
      <c r="AC654" s="49" t="str">
        <f>IF(AND(AB654=1,'Plant Total by Account'!$H$1=2),"EKWRA","")</f>
        <v/>
      </c>
    </row>
    <row r="655" spans="1:29" x14ac:dyDescent="0.2">
      <c r="A655" s="39" t="s">
        <v>3151</v>
      </c>
      <c r="B655" s="45" t="s">
        <v>776</v>
      </c>
      <c r="C655" s="40" t="s">
        <v>3334</v>
      </c>
      <c r="D655" s="53">
        <v>109294.47</v>
      </c>
      <c r="E655" s="53">
        <v>126855.53</v>
      </c>
      <c r="F655" s="53">
        <v>5983690.9399999995</v>
      </c>
      <c r="G655" s="578">
        <f t="shared" si="91"/>
        <v>6219840.9399999995</v>
      </c>
      <c r="H655" s="41"/>
      <c r="I655" s="41"/>
      <c r="J655" s="41"/>
      <c r="K655" s="41">
        <f t="shared" si="93"/>
        <v>109294.47</v>
      </c>
      <c r="L655" s="41">
        <f t="shared" si="94"/>
        <v>126855.53</v>
      </c>
      <c r="M655" s="41">
        <f t="shared" si="95"/>
        <v>5983690.9399999995</v>
      </c>
      <c r="N655" s="363">
        <f t="shared" si="92"/>
        <v>0</v>
      </c>
      <c r="O655" s="43" t="s">
        <v>3309</v>
      </c>
      <c r="P655" s="43"/>
      <c r="R655" s="41">
        <f t="shared" si="88"/>
        <v>0</v>
      </c>
      <c r="S655" s="41">
        <f t="shared" si="89"/>
        <v>0</v>
      </c>
      <c r="T655" s="41">
        <f t="shared" si="90"/>
        <v>0</v>
      </c>
      <c r="U655" s="41"/>
      <c r="V655" s="44" t="str">
        <f>IF($P655="High",$S655,IF($P655="Mix",SUMIF('High_Low Voltage Mix Summary'!$B$10:$B$17,#REF!,'High_Low Voltage Mix Summary'!$D$10:$D$17),""))</f>
        <v/>
      </c>
      <c r="W655" s="44" t="str">
        <f>IF($P655="Low",$S655,IF($P655="Mix",SUMIF('High_Low Voltage Mix Summary'!$B$10:$B$17,#REF!,'High_Low Voltage Mix Summary'!$E$10:$E$17),""))</f>
        <v/>
      </c>
      <c r="X655" s="44" t="str">
        <f>IF($P655="High",$T655,IF($P655="Mix",SUMIF('High_Low Voltage Mix Summary'!$B$10:$B$17,#REF!,'High_Low Voltage Mix Summary'!$F$10:$F$17),""))</f>
        <v/>
      </c>
      <c r="Y655" s="44" t="str">
        <f>IF($P655="Low",$T655,IF($P655="Mix",SUMIF('High_Low Voltage Mix Summary'!$B$10:$B$17,#REF!,'High_Low Voltage Mix Summary'!$G$10:$G$17),""))</f>
        <v/>
      </c>
      <c r="Z655" s="44" t="str">
        <f>IF(OR($P655="High",$P655="Low"),"",IF($P655="Mix",SUMIF('High_Low Voltage Mix Summary'!$B$10:$B$17,#REF!,'High_Low Voltage Mix Summary'!$H$10:$H$17),""))</f>
        <v/>
      </c>
      <c r="AB655" s="49">
        <f>SUMIF('Antelope Bailey Split BA'!$B$7:$B$29,B655,'Antelope Bailey Split BA'!$C$7:$C$29)</f>
        <v>0</v>
      </c>
      <c r="AC655" s="49" t="str">
        <f>IF(AND(AB655=1,'Plant Total by Account'!$H$1=2),"EKWRA","")</f>
        <v/>
      </c>
    </row>
    <row r="656" spans="1:29" x14ac:dyDescent="0.2">
      <c r="A656" s="39" t="s">
        <v>3152</v>
      </c>
      <c r="B656" s="45" t="s">
        <v>777</v>
      </c>
      <c r="C656" s="40" t="s">
        <v>3333</v>
      </c>
      <c r="D656" s="53">
        <v>6540.1500000000005</v>
      </c>
      <c r="E656" s="53">
        <v>21104.55</v>
      </c>
      <c r="F656" s="53">
        <v>1386966.3800000001</v>
      </c>
      <c r="G656" s="578">
        <f t="shared" si="91"/>
        <v>1414611.08</v>
      </c>
      <c r="H656" s="41"/>
      <c r="I656" s="41"/>
      <c r="J656" s="41"/>
      <c r="K656" s="41">
        <f t="shared" si="93"/>
        <v>6540.1500000000005</v>
      </c>
      <c r="L656" s="41">
        <f t="shared" si="94"/>
        <v>21104.55</v>
      </c>
      <c r="M656" s="41">
        <f t="shared" si="95"/>
        <v>1386966.3800000001</v>
      </c>
      <c r="N656" s="363">
        <f t="shared" si="92"/>
        <v>0</v>
      </c>
      <c r="O656" s="43" t="s">
        <v>3309</v>
      </c>
      <c r="P656" s="43"/>
      <c r="R656" s="41">
        <f t="shared" si="88"/>
        <v>0</v>
      </c>
      <c r="S656" s="41">
        <f t="shared" si="89"/>
        <v>0</v>
      </c>
      <c r="T656" s="41">
        <f t="shared" si="90"/>
        <v>0</v>
      </c>
      <c r="U656" s="41"/>
      <c r="V656" s="44" t="str">
        <f>IF($P656="High",$S656,IF($P656="Mix",SUMIF('High_Low Voltage Mix Summary'!$B$10:$B$17,$B482,'High_Low Voltage Mix Summary'!$D$10:$D$17),""))</f>
        <v/>
      </c>
      <c r="W656" s="44" t="str">
        <f>IF($P656="Low",$S656,IF($P656="Mix",SUMIF('High_Low Voltage Mix Summary'!$B$10:$B$17,$B482,'High_Low Voltage Mix Summary'!$E$10:$E$17),""))</f>
        <v/>
      </c>
      <c r="X656" s="44" t="str">
        <f>IF($P656="High",$T656,IF($P656="Mix",SUMIF('High_Low Voltage Mix Summary'!$B$10:$B$17,$B482,'High_Low Voltage Mix Summary'!$F$10:$F$17),""))</f>
        <v/>
      </c>
      <c r="Y656" s="44" t="str">
        <f>IF($P656="Low",$T656,IF($P656="Mix",SUMIF('High_Low Voltage Mix Summary'!$B$10:$B$17,$B482,'High_Low Voltage Mix Summary'!$G$10:$G$17),""))</f>
        <v/>
      </c>
      <c r="Z656" s="44" t="str">
        <f>IF(OR($P656="High",$P656="Low"),"",IF($P656="Mix",SUMIF('High_Low Voltage Mix Summary'!$B$10:$B$17,$B482,'High_Low Voltage Mix Summary'!$H$10:$H$17),""))</f>
        <v/>
      </c>
      <c r="AB656" s="49">
        <f>SUMIF('Antelope Bailey Split BA'!$B$7:$B$29,B656,'Antelope Bailey Split BA'!$C$7:$C$29)</f>
        <v>0</v>
      </c>
      <c r="AC656" s="49" t="str">
        <f>IF(AND(AB656=1,'Plant Total by Account'!$H$1=2),"EKWRA","")</f>
        <v/>
      </c>
    </row>
    <row r="657" spans="1:29" x14ac:dyDescent="0.2">
      <c r="A657" s="39" t="s">
        <v>3153</v>
      </c>
      <c r="B657" s="45" t="s">
        <v>778</v>
      </c>
      <c r="C657" s="40" t="s">
        <v>3334</v>
      </c>
      <c r="D657" s="53">
        <v>0</v>
      </c>
      <c r="E657" s="53">
        <v>17725.5</v>
      </c>
      <c r="F657" s="53">
        <v>589360.23999999987</v>
      </c>
      <c r="G657" s="578">
        <f t="shared" si="91"/>
        <v>607085.73999999987</v>
      </c>
      <c r="H657" s="41"/>
      <c r="I657" s="41"/>
      <c r="J657" s="41"/>
      <c r="K657" s="41">
        <f t="shared" si="93"/>
        <v>0</v>
      </c>
      <c r="L657" s="41">
        <f t="shared" si="94"/>
        <v>17725.5</v>
      </c>
      <c r="M657" s="41">
        <f t="shared" si="95"/>
        <v>589360.23999999987</v>
      </c>
      <c r="N657" s="363">
        <f t="shared" si="92"/>
        <v>0</v>
      </c>
      <c r="O657" s="43" t="s">
        <v>3309</v>
      </c>
      <c r="P657" s="43"/>
      <c r="R657" s="41">
        <f t="shared" si="88"/>
        <v>0</v>
      </c>
      <c r="S657" s="41">
        <f t="shared" si="89"/>
        <v>0</v>
      </c>
      <c r="T657" s="41">
        <f t="shared" si="90"/>
        <v>0</v>
      </c>
      <c r="U657" s="41"/>
      <c r="V657" s="44" t="str">
        <f>IF($P657="High",$S657,IF($P657="Mix",SUMIF('High_Low Voltage Mix Summary'!$B$10:$B$17,$B483,'High_Low Voltage Mix Summary'!$D$10:$D$17),""))</f>
        <v/>
      </c>
      <c r="W657" s="44" t="str">
        <f>IF($P657="Low",$S657,IF($P657="Mix",SUMIF('High_Low Voltage Mix Summary'!$B$10:$B$17,$B483,'High_Low Voltage Mix Summary'!$E$10:$E$17),""))</f>
        <v/>
      </c>
      <c r="X657" s="44" t="str">
        <f>IF($P657="High",$T657,IF($P657="Mix",SUMIF('High_Low Voltage Mix Summary'!$B$10:$B$17,$B483,'High_Low Voltage Mix Summary'!$F$10:$F$17),""))</f>
        <v/>
      </c>
      <c r="Y657" s="44" t="str">
        <f>IF($P657="Low",$T657,IF($P657="Mix",SUMIF('High_Low Voltage Mix Summary'!$B$10:$B$17,$B483,'High_Low Voltage Mix Summary'!$G$10:$G$17),""))</f>
        <v/>
      </c>
      <c r="Z657" s="44" t="str">
        <f>IF(OR($P657="High",$P657="Low"),"",IF($P657="Mix",SUMIF('High_Low Voltage Mix Summary'!$B$10:$B$17,$B483,'High_Low Voltage Mix Summary'!$H$10:$H$17),""))</f>
        <v/>
      </c>
      <c r="AB657" s="49">
        <f>SUMIF('Antelope Bailey Split BA'!$B$7:$B$29,B657,'Antelope Bailey Split BA'!$C$7:$C$29)</f>
        <v>0</v>
      </c>
      <c r="AC657" s="49" t="str">
        <f>IF(AND(AB657=1,'Plant Total by Account'!$H$1=2),"EKWRA","")</f>
        <v/>
      </c>
    </row>
    <row r="658" spans="1:29" x14ac:dyDescent="0.2">
      <c r="A658" s="39" t="s">
        <v>3154</v>
      </c>
      <c r="B658" s="45" t="s">
        <v>779</v>
      </c>
      <c r="C658" s="40" t="s">
        <v>3334</v>
      </c>
      <c r="D658" s="53">
        <v>0</v>
      </c>
      <c r="E658" s="53">
        <v>14762.75</v>
      </c>
      <c r="F658" s="53">
        <v>965762.11000000022</v>
      </c>
      <c r="G658" s="578">
        <f t="shared" si="91"/>
        <v>980524.86000000022</v>
      </c>
      <c r="H658" s="41"/>
      <c r="I658" s="41"/>
      <c r="J658" s="41"/>
      <c r="K658" s="41">
        <f t="shared" si="93"/>
        <v>0</v>
      </c>
      <c r="L658" s="41">
        <f t="shared" si="94"/>
        <v>14762.75</v>
      </c>
      <c r="M658" s="41">
        <f t="shared" si="95"/>
        <v>965762.11000000022</v>
      </c>
      <c r="N658" s="363">
        <f t="shared" si="92"/>
        <v>0</v>
      </c>
      <c r="O658" s="43" t="s">
        <v>3309</v>
      </c>
      <c r="P658" s="43"/>
      <c r="R658" s="41">
        <f t="shared" si="88"/>
        <v>0</v>
      </c>
      <c r="S658" s="41">
        <f t="shared" si="89"/>
        <v>0</v>
      </c>
      <c r="T658" s="41">
        <f t="shared" si="90"/>
        <v>0</v>
      </c>
      <c r="U658" s="41"/>
      <c r="V658" s="44" t="str">
        <f>IF($P658="High",$S658,IF($P658="Mix",SUMIF('High_Low Voltage Mix Summary'!$B$10:$B$17,$B484,'High_Low Voltage Mix Summary'!$D$10:$D$17),""))</f>
        <v/>
      </c>
      <c r="W658" s="44" t="str">
        <f>IF($P658="Low",$S658,IF($P658="Mix",SUMIF('High_Low Voltage Mix Summary'!$B$10:$B$17,$B484,'High_Low Voltage Mix Summary'!$E$10:$E$17),""))</f>
        <v/>
      </c>
      <c r="X658" s="44" t="str">
        <f>IF($P658="High",$T658,IF($P658="Mix",SUMIF('High_Low Voltage Mix Summary'!$B$10:$B$17,$B484,'High_Low Voltage Mix Summary'!$F$10:$F$17),""))</f>
        <v/>
      </c>
      <c r="Y658" s="44" t="str">
        <f>IF($P658="Low",$T658,IF($P658="Mix",SUMIF('High_Low Voltage Mix Summary'!$B$10:$B$17,$B484,'High_Low Voltage Mix Summary'!$G$10:$G$17),""))</f>
        <v/>
      </c>
      <c r="Z658" s="44" t="str">
        <f>IF(OR($P658="High",$P658="Low"),"",IF($P658="Mix",SUMIF('High_Low Voltage Mix Summary'!$B$10:$B$17,$B484,'High_Low Voltage Mix Summary'!$H$10:$H$17),""))</f>
        <v/>
      </c>
      <c r="AB658" s="49">
        <f>SUMIF('Antelope Bailey Split BA'!$B$7:$B$29,B658,'Antelope Bailey Split BA'!$C$7:$C$29)</f>
        <v>0</v>
      </c>
      <c r="AC658" s="49" t="str">
        <f>IF(AND(AB658=1,'Plant Total by Account'!$H$1=2),"EKWRA","")</f>
        <v/>
      </c>
    </row>
    <row r="659" spans="1:29" x14ac:dyDescent="0.2">
      <c r="A659" s="39" t="s">
        <v>3155</v>
      </c>
      <c r="B659" s="45" t="s">
        <v>780</v>
      </c>
      <c r="C659" s="40" t="s">
        <v>3334</v>
      </c>
      <c r="D659" s="53">
        <v>145164.10999999999</v>
      </c>
      <c r="E659" s="53">
        <v>275732.75</v>
      </c>
      <c r="F659" s="53">
        <v>2650965.3699999982</v>
      </c>
      <c r="G659" s="578">
        <f t="shared" si="91"/>
        <v>3071862.2299999981</v>
      </c>
      <c r="H659" s="41"/>
      <c r="I659" s="41"/>
      <c r="J659" s="41"/>
      <c r="K659" s="41">
        <f t="shared" si="93"/>
        <v>145164.10999999999</v>
      </c>
      <c r="L659" s="41">
        <f t="shared" si="94"/>
        <v>275732.75</v>
      </c>
      <c r="M659" s="41">
        <f t="shared" si="95"/>
        <v>2650965.3699999982</v>
      </c>
      <c r="N659" s="363">
        <f t="shared" si="92"/>
        <v>0</v>
      </c>
      <c r="O659" s="43" t="s">
        <v>3309</v>
      </c>
      <c r="P659" s="43"/>
      <c r="R659" s="41">
        <f t="shared" si="88"/>
        <v>0</v>
      </c>
      <c r="S659" s="41">
        <f t="shared" si="89"/>
        <v>0</v>
      </c>
      <c r="T659" s="41">
        <f t="shared" si="90"/>
        <v>0</v>
      </c>
      <c r="U659" s="41"/>
      <c r="V659" s="44" t="str">
        <f>IF($P659="High",$S659,IF($P659="Mix",SUMIF('High_Low Voltage Mix Summary'!$B$10:$B$17,#REF!,'High_Low Voltage Mix Summary'!$D$10:$D$17),""))</f>
        <v/>
      </c>
      <c r="W659" s="44" t="str">
        <f>IF($P659="Low",$S659,IF($P659="Mix",SUMIF('High_Low Voltage Mix Summary'!$B$10:$B$17,#REF!,'High_Low Voltage Mix Summary'!$E$10:$E$17),""))</f>
        <v/>
      </c>
      <c r="X659" s="44" t="str">
        <f>IF($P659="High",$T659,IF($P659="Mix",SUMIF('High_Low Voltage Mix Summary'!$B$10:$B$17,#REF!,'High_Low Voltage Mix Summary'!$F$10:$F$17),""))</f>
        <v/>
      </c>
      <c r="Y659" s="44" t="str">
        <f>IF($P659="Low",$T659,IF($P659="Mix",SUMIF('High_Low Voltage Mix Summary'!$B$10:$B$17,#REF!,'High_Low Voltage Mix Summary'!$G$10:$G$17),""))</f>
        <v/>
      </c>
      <c r="Z659" s="44" t="str">
        <f>IF(OR($P659="High",$P659="Low"),"",IF($P659="Mix",SUMIF('High_Low Voltage Mix Summary'!$B$10:$B$17,#REF!,'High_Low Voltage Mix Summary'!$H$10:$H$17),""))</f>
        <v/>
      </c>
      <c r="AB659" s="49">
        <f>SUMIF('Antelope Bailey Split BA'!$B$7:$B$29,B659,'Antelope Bailey Split BA'!$C$7:$C$29)</f>
        <v>0</v>
      </c>
      <c r="AC659" s="49" t="str">
        <f>IF(AND(AB659=1,'Plant Total by Account'!$H$1=2),"EKWRA","")</f>
        <v/>
      </c>
    </row>
    <row r="660" spans="1:29" x14ac:dyDescent="0.2">
      <c r="A660" s="39" t="s">
        <v>3156</v>
      </c>
      <c r="B660" s="45" t="s">
        <v>781</v>
      </c>
      <c r="C660" s="40" t="s">
        <v>3334</v>
      </c>
      <c r="D660" s="53">
        <v>40290.29</v>
      </c>
      <c r="E660" s="53">
        <v>416387.16000000003</v>
      </c>
      <c r="F660" s="53">
        <v>6674485.7599999979</v>
      </c>
      <c r="G660" s="578">
        <f t="shared" si="91"/>
        <v>7131163.2099999981</v>
      </c>
      <c r="H660" s="41"/>
      <c r="I660" s="41"/>
      <c r="J660" s="41"/>
      <c r="K660" s="41">
        <f t="shared" si="93"/>
        <v>40290.29</v>
      </c>
      <c r="L660" s="41">
        <f t="shared" si="94"/>
        <v>416387.16000000003</v>
      </c>
      <c r="M660" s="41">
        <f t="shared" si="95"/>
        <v>6674485.7599999979</v>
      </c>
      <c r="N660" s="363">
        <f t="shared" si="92"/>
        <v>0</v>
      </c>
      <c r="O660" s="43" t="s">
        <v>3309</v>
      </c>
      <c r="P660" s="43"/>
      <c r="R660" s="41">
        <f t="shared" si="88"/>
        <v>0</v>
      </c>
      <c r="S660" s="41">
        <f t="shared" si="89"/>
        <v>0</v>
      </c>
      <c r="T660" s="41">
        <f t="shared" si="90"/>
        <v>0</v>
      </c>
      <c r="U660" s="41"/>
      <c r="V660" s="44" t="str">
        <f>IF($P660="High",$S660,IF($P660="Mix",SUMIF('High_Low Voltage Mix Summary'!$B$10:$B$17,$B485,'High_Low Voltage Mix Summary'!$D$10:$D$17),""))</f>
        <v/>
      </c>
      <c r="W660" s="44" t="str">
        <f>IF($P660="Low",$S660,IF($P660="Mix",SUMIF('High_Low Voltage Mix Summary'!$B$10:$B$17,$B485,'High_Low Voltage Mix Summary'!$E$10:$E$17),""))</f>
        <v/>
      </c>
      <c r="X660" s="44" t="str">
        <f>IF($P660="High",$T660,IF($P660="Mix",SUMIF('High_Low Voltage Mix Summary'!$B$10:$B$17,$B485,'High_Low Voltage Mix Summary'!$F$10:$F$17),""))</f>
        <v/>
      </c>
      <c r="Y660" s="44" t="str">
        <f>IF($P660="Low",$T660,IF($P660="Mix",SUMIF('High_Low Voltage Mix Summary'!$B$10:$B$17,$B485,'High_Low Voltage Mix Summary'!$G$10:$G$17),""))</f>
        <v/>
      </c>
      <c r="Z660" s="44" t="str">
        <f>IF(OR($P660="High",$P660="Low"),"",IF($P660="Mix",SUMIF('High_Low Voltage Mix Summary'!$B$10:$B$17,$B485,'High_Low Voltage Mix Summary'!$H$10:$H$17),""))</f>
        <v/>
      </c>
      <c r="AB660" s="49">
        <f>SUMIF('Antelope Bailey Split BA'!$B$7:$B$29,B660,'Antelope Bailey Split BA'!$C$7:$C$29)</f>
        <v>0</v>
      </c>
      <c r="AC660" s="49" t="str">
        <f>IF(AND(AB660=1,'Plant Total by Account'!$H$1=2),"EKWRA","")</f>
        <v/>
      </c>
    </row>
    <row r="661" spans="1:29" x14ac:dyDescent="0.2">
      <c r="A661" s="39" t="s">
        <v>3157</v>
      </c>
      <c r="B661" s="45" t="s">
        <v>782</v>
      </c>
      <c r="C661" s="40" t="s">
        <v>3333</v>
      </c>
      <c r="D661" s="53">
        <v>23706.77</v>
      </c>
      <c r="E661" s="53">
        <v>19427.870000000003</v>
      </c>
      <c r="F661" s="53">
        <v>916190.89000000025</v>
      </c>
      <c r="G661" s="578">
        <f t="shared" si="91"/>
        <v>959325.53000000026</v>
      </c>
      <c r="H661" s="41"/>
      <c r="I661" s="41"/>
      <c r="J661" s="41"/>
      <c r="K661" s="41">
        <f t="shared" si="93"/>
        <v>23706.77</v>
      </c>
      <c r="L661" s="41">
        <f t="shared" si="94"/>
        <v>19427.870000000003</v>
      </c>
      <c r="M661" s="41">
        <f t="shared" si="95"/>
        <v>916190.89000000025</v>
      </c>
      <c r="N661" s="363">
        <f t="shared" si="92"/>
        <v>0</v>
      </c>
      <c r="O661" s="43" t="s">
        <v>3309</v>
      </c>
      <c r="P661" s="43"/>
      <c r="R661" s="41">
        <f t="shared" si="88"/>
        <v>0</v>
      </c>
      <c r="S661" s="41">
        <f t="shared" si="89"/>
        <v>0</v>
      </c>
      <c r="T661" s="41">
        <f t="shared" si="90"/>
        <v>0</v>
      </c>
      <c r="U661" s="41"/>
      <c r="V661" s="44" t="str">
        <f>IF($P661="High",$S661,IF($P661="Mix",SUMIF('High_Low Voltage Mix Summary'!$B$10:$B$17,$B486,'High_Low Voltage Mix Summary'!$D$10:$D$17),""))</f>
        <v/>
      </c>
      <c r="W661" s="44" t="str">
        <f>IF($P661="Low",$S661,IF($P661="Mix",SUMIF('High_Low Voltage Mix Summary'!$B$10:$B$17,$B486,'High_Low Voltage Mix Summary'!$E$10:$E$17),""))</f>
        <v/>
      </c>
      <c r="X661" s="44" t="str">
        <f>IF($P661="High",$T661,IF($P661="Mix",SUMIF('High_Low Voltage Mix Summary'!$B$10:$B$17,$B486,'High_Low Voltage Mix Summary'!$F$10:$F$17),""))</f>
        <v/>
      </c>
      <c r="Y661" s="44" t="str">
        <f>IF($P661="Low",$T661,IF($P661="Mix",SUMIF('High_Low Voltage Mix Summary'!$B$10:$B$17,$B486,'High_Low Voltage Mix Summary'!$G$10:$G$17),""))</f>
        <v/>
      </c>
      <c r="Z661" s="44" t="str">
        <f>IF(OR($P661="High",$P661="Low"),"",IF($P661="Mix",SUMIF('High_Low Voltage Mix Summary'!$B$10:$B$17,$B486,'High_Low Voltage Mix Summary'!$H$10:$H$17),""))</f>
        <v/>
      </c>
      <c r="AB661" s="49">
        <f>SUMIF('Antelope Bailey Split BA'!$B$7:$B$29,B661,'Antelope Bailey Split BA'!$C$7:$C$29)</f>
        <v>0</v>
      </c>
      <c r="AC661" s="49" t="str">
        <f>IF(AND(AB661=1,'Plant Total by Account'!$H$1=2),"EKWRA","")</f>
        <v/>
      </c>
    </row>
    <row r="662" spans="1:29" x14ac:dyDescent="0.2">
      <c r="A662" s="39" t="s">
        <v>3158</v>
      </c>
      <c r="B662" s="45" t="s">
        <v>783</v>
      </c>
      <c r="C662" s="40" t="s">
        <v>3334</v>
      </c>
      <c r="D662" s="53">
        <v>62827.53</v>
      </c>
      <c r="E662" s="53">
        <v>199192.36</v>
      </c>
      <c r="F662" s="53">
        <v>3040903.0199999954</v>
      </c>
      <c r="G662" s="578">
        <f t="shared" si="91"/>
        <v>3302922.9099999955</v>
      </c>
      <c r="H662" s="41"/>
      <c r="I662" s="41"/>
      <c r="J662" s="41"/>
      <c r="K662" s="41">
        <f t="shared" si="93"/>
        <v>62827.53</v>
      </c>
      <c r="L662" s="41">
        <f t="shared" si="94"/>
        <v>199192.36</v>
      </c>
      <c r="M662" s="41">
        <f t="shared" si="95"/>
        <v>3040903.0199999954</v>
      </c>
      <c r="N662" s="363">
        <f t="shared" si="92"/>
        <v>0</v>
      </c>
      <c r="O662" s="43" t="s">
        <v>3309</v>
      </c>
      <c r="P662" s="43"/>
      <c r="R662" s="41">
        <f t="shared" si="88"/>
        <v>0</v>
      </c>
      <c r="S662" s="41">
        <f t="shared" si="89"/>
        <v>0</v>
      </c>
      <c r="T662" s="41">
        <f t="shared" si="90"/>
        <v>0</v>
      </c>
      <c r="U662" s="41"/>
      <c r="V662" s="44" t="str">
        <f>IF($P662="High",$S662,IF($P662="Mix",SUMIF('High_Low Voltage Mix Summary'!$B$10:$B$17,$B487,'High_Low Voltage Mix Summary'!$D$10:$D$17),""))</f>
        <v/>
      </c>
      <c r="W662" s="44" t="str">
        <f>IF($P662="Low",$S662,IF($P662="Mix",SUMIF('High_Low Voltage Mix Summary'!$B$10:$B$17,$B487,'High_Low Voltage Mix Summary'!$E$10:$E$17),""))</f>
        <v/>
      </c>
      <c r="X662" s="44" t="str">
        <f>IF($P662="High",$T662,IF($P662="Mix",SUMIF('High_Low Voltage Mix Summary'!$B$10:$B$17,$B487,'High_Low Voltage Mix Summary'!$F$10:$F$17),""))</f>
        <v/>
      </c>
      <c r="Y662" s="44" t="str">
        <f>IF($P662="Low",$T662,IF($P662="Mix",SUMIF('High_Low Voltage Mix Summary'!$B$10:$B$17,$B487,'High_Low Voltage Mix Summary'!$G$10:$G$17),""))</f>
        <v/>
      </c>
      <c r="Z662" s="44" t="str">
        <f>IF(OR($P662="High",$P662="Low"),"",IF($P662="Mix",SUMIF('High_Low Voltage Mix Summary'!$B$10:$B$17,$B487,'High_Low Voltage Mix Summary'!$H$10:$H$17),""))</f>
        <v/>
      </c>
      <c r="AB662" s="49">
        <f>SUMIF('Antelope Bailey Split BA'!$B$7:$B$29,B662,'Antelope Bailey Split BA'!$C$7:$C$29)</f>
        <v>0</v>
      </c>
      <c r="AC662" s="49" t="str">
        <f>IF(AND(AB662=1,'Plant Total by Account'!$H$1=2),"EKWRA","")</f>
        <v/>
      </c>
    </row>
    <row r="663" spans="1:29" x14ac:dyDescent="0.2">
      <c r="A663" s="39" t="s">
        <v>3159</v>
      </c>
      <c r="B663" s="45" t="s">
        <v>784</v>
      </c>
      <c r="C663" s="40" t="s">
        <v>3334</v>
      </c>
      <c r="D663" s="53">
        <v>11184.76</v>
      </c>
      <c r="E663" s="53">
        <v>189675.59000000003</v>
      </c>
      <c r="F663" s="53">
        <v>3848695.3000000012</v>
      </c>
      <c r="G663" s="578">
        <f t="shared" si="91"/>
        <v>4049555.6500000013</v>
      </c>
      <c r="H663" s="41"/>
      <c r="I663" s="41"/>
      <c r="J663" s="41"/>
      <c r="K663" s="41">
        <f t="shared" si="93"/>
        <v>11184.76</v>
      </c>
      <c r="L663" s="41">
        <f t="shared" si="94"/>
        <v>189675.59000000003</v>
      </c>
      <c r="M663" s="41">
        <f t="shared" si="95"/>
        <v>3848695.3000000012</v>
      </c>
      <c r="N663" s="363">
        <f t="shared" si="92"/>
        <v>0</v>
      </c>
      <c r="O663" s="43" t="s">
        <v>3309</v>
      </c>
      <c r="P663" s="43"/>
      <c r="R663" s="41">
        <f t="shared" si="88"/>
        <v>0</v>
      </c>
      <c r="S663" s="41">
        <f t="shared" si="89"/>
        <v>0</v>
      </c>
      <c r="T663" s="41">
        <f t="shared" si="90"/>
        <v>0</v>
      </c>
      <c r="U663" s="41"/>
      <c r="V663" s="44" t="str">
        <f>IF($P663="High",$S663,IF($P663="Mix",SUMIF('High_Low Voltage Mix Summary'!$B$10:$B$17,$B488,'High_Low Voltage Mix Summary'!$D$10:$D$17),""))</f>
        <v/>
      </c>
      <c r="W663" s="44" t="str">
        <f>IF($P663="Low",$S663,IF($P663="Mix",SUMIF('High_Low Voltage Mix Summary'!$B$10:$B$17,$B488,'High_Low Voltage Mix Summary'!$E$10:$E$17),""))</f>
        <v/>
      </c>
      <c r="X663" s="44" t="str">
        <f>IF($P663="High",$T663,IF($P663="Mix",SUMIF('High_Low Voltage Mix Summary'!$B$10:$B$17,$B488,'High_Low Voltage Mix Summary'!$F$10:$F$17),""))</f>
        <v/>
      </c>
      <c r="Y663" s="44" t="str">
        <f>IF($P663="Low",$T663,IF($P663="Mix",SUMIF('High_Low Voltage Mix Summary'!$B$10:$B$17,$B488,'High_Low Voltage Mix Summary'!$G$10:$G$17),""))</f>
        <v/>
      </c>
      <c r="Z663" s="44" t="str">
        <f>IF(OR($P663="High",$P663="Low"),"",IF($P663="Mix",SUMIF('High_Low Voltage Mix Summary'!$B$10:$B$17,$B488,'High_Low Voltage Mix Summary'!$H$10:$H$17),""))</f>
        <v/>
      </c>
      <c r="AB663" s="49">
        <f>SUMIF('Antelope Bailey Split BA'!$B$7:$B$29,B663,'Antelope Bailey Split BA'!$C$7:$C$29)</f>
        <v>0</v>
      </c>
      <c r="AC663" s="49" t="str">
        <f>IF(AND(AB663=1,'Plant Total by Account'!$H$1=2),"EKWRA","")</f>
        <v/>
      </c>
    </row>
    <row r="664" spans="1:29" x14ac:dyDescent="0.2">
      <c r="A664" s="39" t="s">
        <v>3160</v>
      </c>
      <c r="B664" s="45" t="s">
        <v>785</v>
      </c>
      <c r="C664" s="40" t="s">
        <v>3333</v>
      </c>
      <c r="D664" s="53">
        <v>11259.78</v>
      </c>
      <c r="E664" s="53">
        <v>116118.21</v>
      </c>
      <c r="F664" s="53">
        <v>2238349.81</v>
      </c>
      <c r="G664" s="578">
        <f t="shared" si="91"/>
        <v>2365727.8000000003</v>
      </c>
      <c r="H664" s="41"/>
      <c r="I664" s="41"/>
      <c r="J664" s="41"/>
      <c r="K664" s="41">
        <f t="shared" si="93"/>
        <v>11259.78</v>
      </c>
      <c r="L664" s="41">
        <f t="shared" si="94"/>
        <v>116118.21</v>
      </c>
      <c r="M664" s="41">
        <f t="shared" si="95"/>
        <v>2238349.81</v>
      </c>
      <c r="N664" s="363">
        <f t="shared" si="92"/>
        <v>0</v>
      </c>
      <c r="O664" s="43" t="s">
        <v>3309</v>
      </c>
      <c r="P664" s="43"/>
      <c r="R664" s="41">
        <f t="shared" si="88"/>
        <v>0</v>
      </c>
      <c r="S664" s="41">
        <f t="shared" si="89"/>
        <v>0</v>
      </c>
      <c r="T664" s="41">
        <f t="shared" si="90"/>
        <v>0</v>
      </c>
      <c r="U664" s="41"/>
      <c r="V664" s="44" t="str">
        <f>IF($P664="High",$S664,IF($P664="Mix",SUMIF('High_Low Voltage Mix Summary'!$B$10:$B$17,#REF!,'High_Low Voltage Mix Summary'!$D$10:$D$17),""))</f>
        <v/>
      </c>
      <c r="W664" s="44" t="str">
        <f>IF($P664="Low",$S664,IF($P664="Mix",SUMIF('High_Low Voltage Mix Summary'!$B$10:$B$17,#REF!,'High_Low Voltage Mix Summary'!$E$10:$E$17),""))</f>
        <v/>
      </c>
      <c r="X664" s="44" t="str">
        <f>IF($P664="High",$T664,IF($P664="Mix",SUMIF('High_Low Voltage Mix Summary'!$B$10:$B$17,#REF!,'High_Low Voltage Mix Summary'!$F$10:$F$17),""))</f>
        <v/>
      </c>
      <c r="Y664" s="44" t="str">
        <f>IF($P664="Low",$T664,IF($P664="Mix",SUMIF('High_Low Voltage Mix Summary'!$B$10:$B$17,#REF!,'High_Low Voltage Mix Summary'!$G$10:$G$17),""))</f>
        <v/>
      </c>
      <c r="Z664" s="44" t="str">
        <f>IF(OR($P664="High",$P664="Low"),"",IF($P664="Mix",SUMIF('High_Low Voltage Mix Summary'!$B$10:$B$17,#REF!,'High_Low Voltage Mix Summary'!$H$10:$H$17),""))</f>
        <v/>
      </c>
      <c r="AB664" s="49">
        <f>SUMIF('Antelope Bailey Split BA'!$B$7:$B$29,B664,'Antelope Bailey Split BA'!$C$7:$C$29)</f>
        <v>0</v>
      </c>
      <c r="AC664" s="49" t="str">
        <f>IF(AND(AB664=1,'Plant Total by Account'!$H$1=2),"EKWRA","")</f>
        <v/>
      </c>
    </row>
    <row r="665" spans="1:29" x14ac:dyDescent="0.2">
      <c r="A665" s="39" t="s">
        <v>2470</v>
      </c>
      <c r="B665" s="45" t="s">
        <v>786</v>
      </c>
      <c r="C665" s="40" t="s">
        <v>3334</v>
      </c>
      <c r="D665" s="53">
        <v>5865.32</v>
      </c>
      <c r="E665" s="53">
        <v>108591.62</v>
      </c>
      <c r="F665" s="53">
        <v>3817174.6300000004</v>
      </c>
      <c r="G665" s="578">
        <f t="shared" si="91"/>
        <v>3931631.5700000003</v>
      </c>
      <c r="H665" s="41"/>
      <c r="I665" s="41"/>
      <c r="J665" s="41"/>
      <c r="K665" s="41">
        <f t="shared" si="93"/>
        <v>5865.32</v>
      </c>
      <c r="L665" s="41">
        <f t="shared" si="94"/>
        <v>108591.62</v>
      </c>
      <c r="M665" s="41">
        <f t="shared" si="95"/>
        <v>3817174.6300000004</v>
      </c>
      <c r="N665" s="363">
        <f t="shared" si="92"/>
        <v>0</v>
      </c>
      <c r="O665" s="43" t="s">
        <v>3309</v>
      </c>
      <c r="P665" s="43"/>
      <c r="R665" s="41">
        <f t="shared" si="88"/>
        <v>0</v>
      </c>
      <c r="S665" s="41">
        <f t="shared" si="89"/>
        <v>0</v>
      </c>
      <c r="T665" s="41">
        <f t="shared" si="90"/>
        <v>0</v>
      </c>
      <c r="U665" s="41"/>
      <c r="V665" s="44" t="str">
        <f>IF($P665="High",$S665,IF($P665="Mix",SUMIF('High_Low Voltage Mix Summary'!$B$10:$B$17,$B489,'High_Low Voltage Mix Summary'!$D$10:$D$17),""))</f>
        <v/>
      </c>
      <c r="W665" s="44" t="str">
        <f>IF($P665="Low",$S665,IF($P665="Mix",SUMIF('High_Low Voltage Mix Summary'!$B$10:$B$17,$B489,'High_Low Voltage Mix Summary'!$E$10:$E$17),""))</f>
        <v/>
      </c>
      <c r="X665" s="44" t="str">
        <f>IF($P665="High",$T665,IF($P665="Mix",SUMIF('High_Low Voltage Mix Summary'!$B$10:$B$17,$B489,'High_Low Voltage Mix Summary'!$F$10:$F$17),""))</f>
        <v/>
      </c>
      <c r="Y665" s="44" t="str">
        <f>IF($P665="Low",$T665,IF($P665="Mix",SUMIF('High_Low Voltage Mix Summary'!$B$10:$B$17,$B489,'High_Low Voltage Mix Summary'!$G$10:$G$17),""))</f>
        <v/>
      </c>
      <c r="Z665" s="44" t="str">
        <f>IF(OR($P665="High",$P665="Low"),"",IF($P665="Mix",SUMIF('High_Low Voltage Mix Summary'!$B$10:$B$17,$B489,'High_Low Voltage Mix Summary'!$H$10:$H$17),""))</f>
        <v/>
      </c>
      <c r="AB665" s="49">
        <f>SUMIF('Antelope Bailey Split BA'!$B$7:$B$29,B665,'Antelope Bailey Split BA'!$C$7:$C$29)</f>
        <v>0</v>
      </c>
      <c r="AC665" s="49" t="str">
        <f>IF(AND(AB665=1,'Plant Total by Account'!$H$1=2),"EKWRA","")</f>
        <v/>
      </c>
    </row>
    <row r="666" spans="1:29" x14ac:dyDescent="0.2">
      <c r="A666" s="39" t="s">
        <v>3161</v>
      </c>
      <c r="B666" s="45" t="s">
        <v>787</v>
      </c>
      <c r="C666" s="40" t="s">
        <v>3334</v>
      </c>
      <c r="D666" s="53">
        <v>98244.34</v>
      </c>
      <c r="E666" s="53">
        <v>87557.239999999991</v>
      </c>
      <c r="F666" s="53">
        <v>1089181.44</v>
      </c>
      <c r="G666" s="578">
        <f t="shared" si="91"/>
        <v>1274983.02</v>
      </c>
      <c r="H666" s="41"/>
      <c r="I666" s="41"/>
      <c r="J666" s="41"/>
      <c r="K666" s="41">
        <f t="shared" si="93"/>
        <v>98244.34</v>
      </c>
      <c r="L666" s="41">
        <f t="shared" si="94"/>
        <v>87557.239999999991</v>
      </c>
      <c r="M666" s="41">
        <f t="shared" si="95"/>
        <v>1089181.44</v>
      </c>
      <c r="N666" s="363">
        <f t="shared" si="92"/>
        <v>0</v>
      </c>
      <c r="O666" s="43" t="s">
        <v>3309</v>
      </c>
      <c r="P666" s="43"/>
      <c r="R666" s="41">
        <f t="shared" si="88"/>
        <v>0</v>
      </c>
      <c r="S666" s="41">
        <f t="shared" si="89"/>
        <v>0</v>
      </c>
      <c r="T666" s="41">
        <f t="shared" si="90"/>
        <v>0</v>
      </c>
      <c r="U666" s="41"/>
      <c r="V666" s="44" t="str">
        <f>IF($P666="High",$S666,IF($P666="Mix",SUMIF('High_Low Voltage Mix Summary'!$B$10:$B$17,$B490,'High_Low Voltage Mix Summary'!$D$10:$D$17),""))</f>
        <v/>
      </c>
      <c r="W666" s="44" t="str">
        <f>IF($P666="Low",$S666,IF($P666="Mix",SUMIF('High_Low Voltage Mix Summary'!$B$10:$B$17,$B490,'High_Low Voltage Mix Summary'!$E$10:$E$17),""))</f>
        <v/>
      </c>
      <c r="X666" s="44" t="str">
        <f>IF($P666="High",$T666,IF($P666="Mix",SUMIF('High_Low Voltage Mix Summary'!$B$10:$B$17,$B490,'High_Low Voltage Mix Summary'!$F$10:$F$17),""))</f>
        <v/>
      </c>
      <c r="Y666" s="44" t="str">
        <f>IF($P666="Low",$T666,IF($P666="Mix",SUMIF('High_Low Voltage Mix Summary'!$B$10:$B$17,$B490,'High_Low Voltage Mix Summary'!$G$10:$G$17),""))</f>
        <v/>
      </c>
      <c r="Z666" s="44" t="str">
        <f>IF(OR($P666="High",$P666="Low"),"",IF($P666="Mix",SUMIF('High_Low Voltage Mix Summary'!$B$10:$B$17,$B490,'High_Low Voltage Mix Summary'!$H$10:$H$17),""))</f>
        <v/>
      </c>
      <c r="AB666" s="49">
        <f>SUMIF('Antelope Bailey Split BA'!$B$7:$B$29,B666,'Antelope Bailey Split BA'!$C$7:$C$29)</f>
        <v>0</v>
      </c>
      <c r="AC666" s="49" t="str">
        <f>IF(AND(AB666=1,'Plant Total by Account'!$H$1=2),"EKWRA","")</f>
        <v/>
      </c>
    </row>
    <row r="667" spans="1:29" x14ac:dyDescent="0.2">
      <c r="A667" s="39" t="s">
        <v>3162</v>
      </c>
      <c r="B667" s="45" t="s">
        <v>788</v>
      </c>
      <c r="C667" s="40" t="s">
        <v>3334</v>
      </c>
      <c r="D667" s="53">
        <v>0</v>
      </c>
      <c r="E667" s="53">
        <v>0</v>
      </c>
      <c r="F667" s="53">
        <v>1711.1100000000001</v>
      </c>
      <c r="G667" s="578">
        <f t="shared" si="91"/>
        <v>1711.1100000000001</v>
      </c>
      <c r="H667" s="41"/>
      <c r="I667" s="41"/>
      <c r="J667" s="41"/>
      <c r="K667" s="41">
        <f t="shared" si="93"/>
        <v>0</v>
      </c>
      <c r="L667" s="41">
        <f t="shared" si="94"/>
        <v>0</v>
      </c>
      <c r="M667" s="41">
        <f t="shared" si="95"/>
        <v>1711.1100000000001</v>
      </c>
      <c r="N667" s="363">
        <f t="shared" si="92"/>
        <v>0</v>
      </c>
      <c r="O667" s="43" t="s">
        <v>3309</v>
      </c>
      <c r="P667" s="43"/>
      <c r="R667" s="41">
        <f t="shared" si="88"/>
        <v>0</v>
      </c>
      <c r="S667" s="41">
        <f t="shared" si="89"/>
        <v>0</v>
      </c>
      <c r="T667" s="41">
        <f t="shared" si="90"/>
        <v>0</v>
      </c>
      <c r="U667" s="41"/>
      <c r="V667" s="44" t="str">
        <f>IF($P667="High",$S667,IF($P667="Mix",SUMIF('High_Low Voltage Mix Summary'!$B$10:$B$17,#REF!,'High_Low Voltage Mix Summary'!$D$10:$D$17),""))</f>
        <v/>
      </c>
      <c r="W667" s="44" t="str">
        <f>IF($P667="Low",$S667,IF($P667="Mix",SUMIF('High_Low Voltage Mix Summary'!$B$10:$B$17,#REF!,'High_Low Voltage Mix Summary'!$E$10:$E$17),""))</f>
        <v/>
      </c>
      <c r="X667" s="44" t="str">
        <f>IF($P667="High",$T667,IF($P667="Mix",SUMIF('High_Low Voltage Mix Summary'!$B$10:$B$17,#REF!,'High_Low Voltage Mix Summary'!$F$10:$F$17),""))</f>
        <v/>
      </c>
      <c r="Y667" s="44" t="str">
        <f>IF($P667="Low",$T667,IF($P667="Mix",SUMIF('High_Low Voltage Mix Summary'!$B$10:$B$17,#REF!,'High_Low Voltage Mix Summary'!$G$10:$G$17),""))</f>
        <v/>
      </c>
      <c r="Z667" s="44" t="str">
        <f>IF(OR($P667="High",$P667="Low"),"",IF($P667="Mix",SUMIF('High_Low Voltage Mix Summary'!$B$10:$B$17,#REF!,'High_Low Voltage Mix Summary'!$H$10:$H$17),""))</f>
        <v/>
      </c>
      <c r="AB667" s="49">
        <f>SUMIF('Antelope Bailey Split BA'!$B$7:$B$29,B667,'Antelope Bailey Split BA'!$C$7:$C$29)</f>
        <v>0</v>
      </c>
      <c r="AC667" s="49" t="str">
        <f>IF(AND(AB667=1,'Plant Total by Account'!$H$1=2),"EKWRA","")</f>
        <v/>
      </c>
    </row>
    <row r="668" spans="1:29" x14ac:dyDescent="0.2">
      <c r="A668" s="39" t="s">
        <v>3163</v>
      </c>
      <c r="B668" s="45" t="s">
        <v>789</v>
      </c>
      <c r="C668" s="40" t="s">
        <v>3333</v>
      </c>
      <c r="D668" s="53">
        <v>8006.09</v>
      </c>
      <c r="E668" s="53">
        <v>66203.960000000006</v>
      </c>
      <c r="F668" s="53">
        <v>822549.44999999984</v>
      </c>
      <c r="G668" s="578">
        <f t="shared" si="91"/>
        <v>896759.49999999988</v>
      </c>
      <c r="H668" s="41"/>
      <c r="I668" s="41"/>
      <c r="J668" s="41"/>
      <c r="K668" s="41">
        <f t="shared" si="93"/>
        <v>8006.09</v>
      </c>
      <c r="L668" s="41">
        <f t="shared" si="94"/>
        <v>66203.960000000006</v>
      </c>
      <c r="M668" s="41">
        <f t="shared" si="95"/>
        <v>822549.44999999984</v>
      </c>
      <c r="N668" s="363">
        <f t="shared" si="92"/>
        <v>0</v>
      </c>
      <c r="O668" s="43" t="s">
        <v>3309</v>
      </c>
      <c r="P668" s="43"/>
      <c r="R668" s="41">
        <f t="shared" si="88"/>
        <v>0</v>
      </c>
      <c r="S668" s="41">
        <f t="shared" si="89"/>
        <v>0</v>
      </c>
      <c r="T668" s="41">
        <f t="shared" si="90"/>
        <v>0</v>
      </c>
      <c r="U668" s="41"/>
      <c r="V668" s="44" t="str">
        <f>IF($P668="High",$S668,IF($P668="Mix",SUMIF('High_Low Voltage Mix Summary'!$B$10:$B$17,$B491,'High_Low Voltage Mix Summary'!$D$10:$D$17),""))</f>
        <v/>
      </c>
      <c r="W668" s="44" t="str">
        <f>IF($P668="Low",$S668,IF($P668="Mix",SUMIF('High_Low Voltage Mix Summary'!$B$10:$B$17,$B491,'High_Low Voltage Mix Summary'!$E$10:$E$17),""))</f>
        <v/>
      </c>
      <c r="X668" s="44" t="str">
        <f>IF($P668="High",$T668,IF($P668="Mix",SUMIF('High_Low Voltage Mix Summary'!$B$10:$B$17,$B491,'High_Low Voltage Mix Summary'!$F$10:$F$17),""))</f>
        <v/>
      </c>
      <c r="Y668" s="44" t="str">
        <f>IF($P668="Low",$T668,IF($P668="Mix",SUMIF('High_Low Voltage Mix Summary'!$B$10:$B$17,$B491,'High_Low Voltage Mix Summary'!$G$10:$G$17),""))</f>
        <v/>
      </c>
      <c r="Z668" s="44" t="str">
        <f>IF(OR($P668="High",$P668="Low"),"",IF($P668="Mix",SUMIF('High_Low Voltage Mix Summary'!$B$10:$B$17,$B491,'High_Low Voltage Mix Summary'!$H$10:$H$17),""))</f>
        <v/>
      </c>
      <c r="AB668" s="49">
        <f>SUMIF('Antelope Bailey Split BA'!$B$7:$B$29,B668,'Antelope Bailey Split BA'!$C$7:$C$29)</f>
        <v>0</v>
      </c>
      <c r="AC668" s="49" t="str">
        <f>IF(AND(AB668=1,'Plant Total by Account'!$H$1=2),"EKWRA","")</f>
        <v/>
      </c>
    </row>
    <row r="669" spans="1:29" x14ac:dyDescent="0.2">
      <c r="A669" s="39" t="s">
        <v>2471</v>
      </c>
      <c r="B669" s="45" t="s">
        <v>790</v>
      </c>
      <c r="C669" s="40" t="s">
        <v>3334</v>
      </c>
      <c r="D669" s="53">
        <v>46880.41</v>
      </c>
      <c r="E669" s="53">
        <v>167495.64999999997</v>
      </c>
      <c r="F669" s="53">
        <v>8702383.3600000031</v>
      </c>
      <c r="G669" s="578">
        <f t="shared" si="91"/>
        <v>8916759.4200000037</v>
      </c>
      <c r="H669" s="41"/>
      <c r="I669" s="41"/>
      <c r="J669" s="41"/>
      <c r="K669" s="41">
        <f t="shared" si="93"/>
        <v>46880.41</v>
      </c>
      <c r="L669" s="41">
        <f t="shared" si="94"/>
        <v>167495.64999999997</v>
      </c>
      <c r="M669" s="41">
        <f t="shared" si="95"/>
        <v>8702383.3600000031</v>
      </c>
      <c r="N669" s="363">
        <f t="shared" si="92"/>
        <v>0</v>
      </c>
      <c r="O669" s="43" t="s">
        <v>3309</v>
      </c>
      <c r="P669" s="43"/>
      <c r="R669" s="41">
        <f t="shared" si="88"/>
        <v>0</v>
      </c>
      <c r="S669" s="41">
        <f t="shared" si="89"/>
        <v>0</v>
      </c>
      <c r="T669" s="41">
        <f t="shared" si="90"/>
        <v>0</v>
      </c>
      <c r="U669" s="41"/>
      <c r="V669" s="44" t="str">
        <f>IF($P669="High",$S669,IF($P669="Mix",SUMIF('High_Low Voltage Mix Summary'!$B$10:$B$17,$B492,'High_Low Voltage Mix Summary'!$D$10:$D$17),""))</f>
        <v/>
      </c>
      <c r="W669" s="44" t="str">
        <f>IF($P669="Low",$S669,IF($P669="Mix",SUMIF('High_Low Voltage Mix Summary'!$B$10:$B$17,$B492,'High_Low Voltage Mix Summary'!$E$10:$E$17),""))</f>
        <v/>
      </c>
      <c r="X669" s="44" t="str">
        <f>IF($P669="High",$T669,IF($P669="Mix",SUMIF('High_Low Voltage Mix Summary'!$B$10:$B$17,$B492,'High_Low Voltage Mix Summary'!$F$10:$F$17),""))</f>
        <v/>
      </c>
      <c r="Y669" s="44" t="str">
        <f>IF($P669="Low",$T669,IF($P669="Mix",SUMIF('High_Low Voltage Mix Summary'!$B$10:$B$17,$B492,'High_Low Voltage Mix Summary'!$G$10:$G$17),""))</f>
        <v/>
      </c>
      <c r="Z669" s="44" t="str">
        <f>IF(OR($P669="High",$P669="Low"),"",IF($P669="Mix",SUMIF('High_Low Voltage Mix Summary'!$B$10:$B$17,$B492,'High_Low Voltage Mix Summary'!$H$10:$H$17),""))</f>
        <v/>
      </c>
      <c r="AB669" s="49">
        <f>SUMIF('Antelope Bailey Split BA'!$B$7:$B$29,B669,'Antelope Bailey Split BA'!$C$7:$C$29)</f>
        <v>0</v>
      </c>
      <c r="AC669" s="49" t="str">
        <f>IF(AND(AB669=1,'Plant Total by Account'!$H$1=2),"EKWRA","")</f>
        <v/>
      </c>
    </row>
    <row r="670" spans="1:29" x14ac:dyDescent="0.2">
      <c r="A670" s="39" t="s">
        <v>3164</v>
      </c>
      <c r="B670" s="45" t="s">
        <v>791</v>
      </c>
      <c r="C670" s="40" t="s">
        <v>3334</v>
      </c>
      <c r="D670" s="53">
        <v>0</v>
      </c>
      <c r="E670" s="53">
        <v>4229.0600000000004</v>
      </c>
      <c r="F670" s="53">
        <v>498716.63</v>
      </c>
      <c r="G670" s="578">
        <f t="shared" si="91"/>
        <v>502945.69</v>
      </c>
      <c r="H670" s="41"/>
      <c r="I670" s="41"/>
      <c r="J670" s="41"/>
      <c r="K670" s="41">
        <f t="shared" si="93"/>
        <v>0</v>
      </c>
      <c r="L670" s="41">
        <f t="shared" si="94"/>
        <v>4229.0600000000004</v>
      </c>
      <c r="M670" s="41">
        <f t="shared" si="95"/>
        <v>498716.63</v>
      </c>
      <c r="N670" s="363">
        <f t="shared" si="92"/>
        <v>0</v>
      </c>
      <c r="O670" s="43" t="s">
        <v>3309</v>
      </c>
      <c r="P670" s="43"/>
      <c r="R670" s="41">
        <f t="shared" si="88"/>
        <v>0</v>
      </c>
      <c r="S670" s="41">
        <f t="shared" si="89"/>
        <v>0</v>
      </c>
      <c r="T670" s="41">
        <f t="shared" si="90"/>
        <v>0</v>
      </c>
      <c r="U670" s="41"/>
      <c r="V670" s="44" t="str">
        <f>IF($P670="High",$S670,IF($P670="Mix",SUMIF('High_Low Voltage Mix Summary'!$B$10:$B$17,$B493,'High_Low Voltage Mix Summary'!$D$10:$D$17),""))</f>
        <v/>
      </c>
      <c r="W670" s="44" t="str">
        <f>IF($P670="Low",$S670,IF($P670="Mix",SUMIF('High_Low Voltage Mix Summary'!$B$10:$B$17,$B493,'High_Low Voltage Mix Summary'!$E$10:$E$17),""))</f>
        <v/>
      </c>
      <c r="X670" s="44" t="str">
        <f>IF($P670="High",$T670,IF($P670="Mix",SUMIF('High_Low Voltage Mix Summary'!$B$10:$B$17,$B493,'High_Low Voltage Mix Summary'!$F$10:$F$17),""))</f>
        <v/>
      </c>
      <c r="Y670" s="44" t="str">
        <f>IF($P670="Low",$T670,IF($P670="Mix",SUMIF('High_Low Voltage Mix Summary'!$B$10:$B$17,$B493,'High_Low Voltage Mix Summary'!$G$10:$G$17),""))</f>
        <v/>
      </c>
      <c r="Z670" s="44" t="str">
        <f>IF(OR($P670="High",$P670="Low"),"",IF($P670="Mix",SUMIF('High_Low Voltage Mix Summary'!$B$10:$B$17,$B493,'High_Low Voltage Mix Summary'!$H$10:$H$17),""))</f>
        <v/>
      </c>
      <c r="AB670" s="49">
        <f>SUMIF('Antelope Bailey Split BA'!$B$7:$B$29,B670,'Antelope Bailey Split BA'!$C$7:$C$29)</f>
        <v>0</v>
      </c>
      <c r="AC670" s="49" t="str">
        <f>IF(AND(AB670=1,'Plant Total by Account'!$H$1=2),"EKWRA","")</f>
        <v/>
      </c>
    </row>
    <row r="671" spans="1:29" x14ac:dyDescent="0.2">
      <c r="A671" s="39" t="s">
        <v>3165</v>
      </c>
      <c r="B671" s="45" t="s">
        <v>792</v>
      </c>
      <c r="C671" s="40" t="s">
        <v>3333</v>
      </c>
      <c r="D671" s="53">
        <v>11336.06</v>
      </c>
      <c r="E671" s="53">
        <v>15172.219999999996</v>
      </c>
      <c r="F671" s="53">
        <v>343652.49</v>
      </c>
      <c r="G671" s="578">
        <f t="shared" si="91"/>
        <v>370160.76999999996</v>
      </c>
      <c r="H671" s="41"/>
      <c r="I671" s="41"/>
      <c r="J671" s="41"/>
      <c r="K671" s="41">
        <f t="shared" si="93"/>
        <v>11336.06</v>
      </c>
      <c r="L671" s="41">
        <f t="shared" si="94"/>
        <v>15172.219999999996</v>
      </c>
      <c r="M671" s="41">
        <f t="shared" si="95"/>
        <v>343652.49</v>
      </c>
      <c r="N671" s="363">
        <f t="shared" si="92"/>
        <v>0</v>
      </c>
      <c r="O671" s="43" t="s">
        <v>3309</v>
      </c>
      <c r="P671" s="43"/>
      <c r="R671" s="41">
        <f t="shared" si="88"/>
        <v>0</v>
      </c>
      <c r="S671" s="41">
        <f t="shared" si="89"/>
        <v>0</v>
      </c>
      <c r="T671" s="41">
        <f t="shared" si="90"/>
        <v>0</v>
      </c>
      <c r="U671" s="41"/>
      <c r="V671" s="44" t="str">
        <f>IF($P671="High",$S671,IF($P671="Mix",SUMIF('High_Low Voltage Mix Summary'!$B$10:$B$17,#REF!,'High_Low Voltage Mix Summary'!$D$10:$D$17),""))</f>
        <v/>
      </c>
      <c r="W671" s="44" t="str">
        <f>IF($P671="Low",$S671,IF($P671="Mix",SUMIF('High_Low Voltage Mix Summary'!$B$10:$B$17,#REF!,'High_Low Voltage Mix Summary'!$E$10:$E$17),""))</f>
        <v/>
      </c>
      <c r="X671" s="44" t="str">
        <f>IF($P671="High",$T671,IF($P671="Mix",SUMIF('High_Low Voltage Mix Summary'!$B$10:$B$17,#REF!,'High_Low Voltage Mix Summary'!$F$10:$F$17),""))</f>
        <v/>
      </c>
      <c r="Y671" s="44" t="str">
        <f>IF($P671="Low",$T671,IF($P671="Mix",SUMIF('High_Low Voltage Mix Summary'!$B$10:$B$17,#REF!,'High_Low Voltage Mix Summary'!$G$10:$G$17),""))</f>
        <v/>
      </c>
      <c r="Z671" s="44" t="str">
        <f>IF(OR($P671="High",$P671="Low"),"",IF($P671="Mix",SUMIF('High_Low Voltage Mix Summary'!$B$10:$B$17,#REF!,'High_Low Voltage Mix Summary'!$H$10:$H$17),""))</f>
        <v/>
      </c>
      <c r="AB671" s="49">
        <f>SUMIF('Antelope Bailey Split BA'!$B$7:$B$29,B671,'Antelope Bailey Split BA'!$C$7:$C$29)</f>
        <v>0</v>
      </c>
      <c r="AC671" s="49" t="str">
        <f>IF(AND(AB671=1,'Plant Total by Account'!$H$1=2),"EKWRA","")</f>
        <v/>
      </c>
    </row>
    <row r="672" spans="1:29" x14ac:dyDescent="0.2">
      <c r="A672" s="39" t="s">
        <v>3166</v>
      </c>
      <c r="B672" s="45" t="s">
        <v>793</v>
      </c>
      <c r="C672" s="40" t="s">
        <v>3334</v>
      </c>
      <c r="D672" s="53">
        <v>16481.260000000002</v>
      </c>
      <c r="E672" s="53">
        <v>71499.790000000008</v>
      </c>
      <c r="F672" s="53">
        <v>4052069.9600000004</v>
      </c>
      <c r="G672" s="578">
        <f t="shared" si="91"/>
        <v>4140051.0100000002</v>
      </c>
      <c r="H672" s="41"/>
      <c r="I672" s="41"/>
      <c r="J672" s="41"/>
      <c r="K672" s="41">
        <f t="shared" si="93"/>
        <v>16481.260000000002</v>
      </c>
      <c r="L672" s="41">
        <f t="shared" si="94"/>
        <v>71499.790000000008</v>
      </c>
      <c r="M672" s="41">
        <f t="shared" si="95"/>
        <v>4052069.9600000004</v>
      </c>
      <c r="N672" s="363">
        <f t="shared" si="92"/>
        <v>0</v>
      </c>
      <c r="O672" s="43" t="s">
        <v>3309</v>
      </c>
      <c r="P672" s="43"/>
      <c r="R672" s="41">
        <f t="shared" si="88"/>
        <v>0</v>
      </c>
      <c r="S672" s="41">
        <f t="shared" si="89"/>
        <v>0</v>
      </c>
      <c r="T672" s="41">
        <f t="shared" si="90"/>
        <v>0</v>
      </c>
      <c r="U672" s="41"/>
      <c r="V672" s="44" t="str">
        <f>IF($P672="High",$S672,IF($P672="Mix",SUMIF('High_Low Voltage Mix Summary'!$B$10:$B$17,$B494,'High_Low Voltage Mix Summary'!$D$10:$D$17),""))</f>
        <v/>
      </c>
      <c r="W672" s="44" t="str">
        <f>IF($P672="Low",$S672,IF($P672="Mix",SUMIF('High_Low Voltage Mix Summary'!$B$10:$B$17,$B494,'High_Low Voltage Mix Summary'!$E$10:$E$17),""))</f>
        <v/>
      </c>
      <c r="X672" s="44" t="str">
        <f>IF($P672="High",$T672,IF($P672="Mix",SUMIF('High_Low Voltage Mix Summary'!$B$10:$B$17,$B494,'High_Low Voltage Mix Summary'!$F$10:$F$17),""))</f>
        <v/>
      </c>
      <c r="Y672" s="44" t="str">
        <f>IF($P672="Low",$T672,IF($P672="Mix",SUMIF('High_Low Voltage Mix Summary'!$B$10:$B$17,$B494,'High_Low Voltage Mix Summary'!$G$10:$G$17),""))</f>
        <v/>
      </c>
      <c r="Z672" s="44" t="str">
        <f>IF(OR($P672="High",$P672="Low"),"",IF($P672="Mix",SUMIF('High_Low Voltage Mix Summary'!$B$10:$B$17,$B494,'High_Low Voltage Mix Summary'!$H$10:$H$17),""))</f>
        <v/>
      </c>
      <c r="AB672" s="49">
        <f>SUMIF('Antelope Bailey Split BA'!$B$7:$B$29,B672,'Antelope Bailey Split BA'!$C$7:$C$29)</f>
        <v>0</v>
      </c>
      <c r="AC672" s="49" t="str">
        <f>IF(AND(AB672=1,'Plant Total by Account'!$H$1=2),"EKWRA","")</f>
        <v/>
      </c>
    </row>
    <row r="673" spans="1:29" x14ac:dyDescent="0.2">
      <c r="A673" s="39" t="s">
        <v>3167</v>
      </c>
      <c r="B673" s="45" t="s">
        <v>794</v>
      </c>
      <c r="C673" s="40" t="s">
        <v>3334</v>
      </c>
      <c r="D673" s="53">
        <v>6998.56</v>
      </c>
      <c r="E673" s="53">
        <v>28567.780000000002</v>
      </c>
      <c r="F673" s="53">
        <v>637845.34</v>
      </c>
      <c r="G673" s="578">
        <f t="shared" si="91"/>
        <v>673411.67999999993</v>
      </c>
      <c r="H673" s="41"/>
      <c r="I673" s="41"/>
      <c r="J673" s="41"/>
      <c r="K673" s="41">
        <f t="shared" si="93"/>
        <v>6998.56</v>
      </c>
      <c r="L673" s="41">
        <f t="shared" si="94"/>
        <v>28567.780000000002</v>
      </c>
      <c r="M673" s="41">
        <f t="shared" si="95"/>
        <v>637845.34</v>
      </c>
      <c r="N673" s="363">
        <f t="shared" si="92"/>
        <v>0</v>
      </c>
      <c r="O673" s="43" t="s">
        <v>3309</v>
      </c>
      <c r="P673" s="43"/>
      <c r="R673" s="41">
        <f t="shared" si="88"/>
        <v>0</v>
      </c>
      <c r="S673" s="41">
        <f t="shared" si="89"/>
        <v>0</v>
      </c>
      <c r="T673" s="41">
        <f t="shared" si="90"/>
        <v>0</v>
      </c>
      <c r="U673" s="41"/>
      <c r="V673" s="44" t="str">
        <f>IF($P673="High",$S673,IF($P673="Mix",SUMIF('High_Low Voltage Mix Summary'!$B$10:$B$17,$B495,'High_Low Voltage Mix Summary'!$D$10:$D$17),""))</f>
        <v/>
      </c>
      <c r="W673" s="44" t="str">
        <f>IF($P673="Low",$S673,IF($P673="Mix",SUMIF('High_Low Voltage Mix Summary'!$B$10:$B$17,$B495,'High_Low Voltage Mix Summary'!$E$10:$E$17),""))</f>
        <v/>
      </c>
      <c r="X673" s="44" t="str">
        <f>IF($P673="High",$T673,IF($P673="Mix",SUMIF('High_Low Voltage Mix Summary'!$B$10:$B$17,$B495,'High_Low Voltage Mix Summary'!$F$10:$F$17),""))</f>
        <v/>
      </c>
      <c r="Y673" s="44" t="str">
        <f>IF($P673="Low",$T673,IF($P673="Mix",SUMIF('High_Low Voltage Mix Summary'!$B$10:$B$17,$B495,'High_Low Voltage Mix Summary'!$G$10:$G$17),""))</f>
        <v/>
      </c>
      <c r="Z673" s="44" t="str">
        <f>IF(OR($P673="High",$P673="Low"),"",IF($P673="Mix",SUMIF('High_Low Voltage Mix Summary'!$B$10:$B$17,$B495,'High_Low Voltage Mix Summary'!$H$10:$H$17),""))</f>
        <v/>
      </c>
      <c r="AB673" s="49">
        <f>SUMIF('Antelope Bailey Split BA'!$B$7:$B$29,B673,'Antelope Bailey Split BA'!$C$7:$C$29)</f>
        <v>0</v>
      </c>
      <c r="AC673" s="49" t="str">
        <f>IF(AND(AB673=1,'Plant Total by Account'!$H$1=2),"EKWRA","")</f>
        <v/>
      </c>
    </row>
    <row r="674" spans="1:29" x14ac:dyDescent="0.2">
      <c r="A674" s="39" t="s">
        <v>3168</v>
      </c>
      <c r="B674" s="45" t="s">
        <v>3169</v>
      </c>
      <c r="C674" s="40"/>
      <c r="D674" s="53">
        <v>0</v>
      </c>
      <c r="E674" s="53">
        <v>347638.96</v>
      </c>
      <c r="F674" s="53">
        <v>1040901.4199999999</v>
      </c>
      <c r="G674" s="578">
        <f t="shared" si="91"/>
        <v>1388540.38</v>
      </c>
      <c r="H674" s="41"/>
      <c r="I674" s="41"/>
      <c r="J674" s="41"/>
      <c r="K674" s="41">
        <f t="shared" si="93"/>
        <v>0</v>
      </c>
      <c r="L674" s="41">
        <f t="shared" si="94"/>
        <v>347638.96</v>
      </c>
      <c r="M674" s="41">
        <f t="shared" si="95"/>
        <v>1040901.4199999999</v>
      </c>
      <c r="N674" s="363">
        <f t="shared" si="92"/>
        <v>0</v>
      </c>
      <c r="O674" s="43" t="s">
        <v>3309</v>
      </c>
      <c r="P674" s="43"/>
      <c r="R674" s="41">
        <f t="shared" si="88"/>
        <v>0</v>
      </c>
      <c r="S674" s="41">
        <f t="shared" si="89"/>
        <v>0</v>
      </c>
      <c r="T674" s="41">
        <f t="shared" si="90"/>
        <v>0</v>
      </c>
      <c r="U674" s="41"/>
      <c r="V674" s="44" t="str">
        <f>IF($P674="High",$S674,IF($P674="Mix",SUMIF('High_Low Voltage Mix Summary'!$B$10:$B$17,#REF!,'High_Low Voltage Mix Summary'!$D$10:$D$17),""))</f>
        <v/>
      </c>
      <c r="W674" s="44" t="str">
        <f>IF($P674="Low",$S674,IF($P674="Mix",SUMIF('High_Low Voltage Mix Summary'!$B$10:$B$17,#REF!,'High_Low Voltage Mix Summary'!$E$10:$E$17),""))</f>
        <v/>
      </c>
      <c r="X674" s="44" t="str">
        <f>IF($P674="High",$T674,IF($P674="Mix",SUMIF('High_Low Voltage Mix Summary'!$B$10:$B$17,#REF!,'High_Low Voltage Mix Summary'!$F$10:$F$17),""))</f>
        <v/>
      </c>
      <c r="Y674" s="44" t="str">
        <f>IF($P674="Low",$T674,IF($P674="Mix",SUMIF('High_Low Voltage Mix Summary'!$B$10:$B$17,#REF!,'High_Low Voltage Mix Summary'!$G$10:$G$17),""))</f>
        <v/>
      </c>
      <c r="Z674" s="44" t="str">
        <f>IF(OR($P674="High",$P674="Low"),"",IF($P674="Mix",SUMIF('High_Low Voltage Mix Summary'!$B$10:$B$17,#REF!,'High_Low Voltage Mix Summary'!$H$10:$H$17),""))</f>
        <v/>
      </c>
      <c r="AB674" s="49">
        <f>SUMIF('Antelope Bailey Split BA'!$B$7:$B$29,B674,'Antelope Bailey Split BA'!$C$7:$C$29)</f>
        <v>0</v>
      </c>
      <c r="AC674" s="49" t="str">
        <f>IF(AND(AB674=1,'Plant Total by Account'!$H$1=2),"EKWRA","")</f>
        <v/>
      </c>
    </row>
    <row r="675" spans="1:29" x14ac:dyDescent="0.2">
      <c r="A675" s="39" t="s">
        <v>132</v>
      </c>
      <c r="B675" s="45" t="s">
        <v>975</v>
      </c>
      <c r="C675" s="40" t="s">
        <v>1508</v>
      </c>
      <c r="D675" s="167">
        <v>84541618.270000026</v>
      </c>
      <c r="E675" s="167">
        <v>316020075.53999996</v>
      </c>
      <c r="F675" s="167">
        <v>324566.07999999996</v>
      </c>
      <c r="G675" s="578">
        <f t="shared" si="91"/>
        <v>400886259.88999999</v>
      </c>
      <c r="H675" s="41"/>
      <c r="I675" s="41"/>
      <c r="J675" s="41"/>
      <c r="K675" s="41">
        <f t="shared" si="93"/>
        <v>84541618.270000026</v>
      </c>
      <c r="L675" s="41">
        <f t="shared" si="94"/>
        <v>316020075.53999996</v>
      </c>
      <c r="M675" s="41">
        <f t="shared" si="95"/>
        <v>324566.07999999996</v>
      </c>
      <c r="N675" s="363">
        <f t="shared" si="92"/>
        <v>0</v>
      </c>
      <c r="O675" s="43" t="s">
        <v>3309</v>
      </c>
      <c r="P675" s="43"/>
      <c r="R675" s="41">
        <f t="shared" si="88"/>
        <v>0</v>
      </c>
      <c r="S675" s="41">
        <f t="shared" si="89"/>
        <v>0</v>
      </c>
      <c r="T675" s="41">
        <f t="shared" si="90"/>
        <v>0</v>
      </c>
      <c r="U675" s="41"/>
      <c r="V675" s="44" t="str">
        <f>IF($P675="High",$S675,IF($P675="Mix",SUMIF('High_Low Voltage Mix Summary'!$B$10:$B$17,$B599,'High_Low Voltage Mix Summary'!$D$10:$D$17),""))</f>
        <v/>
      </c>
      <c r="W675" s="44" t="str">
        <f>IF($P675="Low",$S675,IF($P675="Mix",SUMIF('High_Low Voltage Mix Summary'!$B$10:$B$17,$B599,'High_Low Voltage Mix Summary'!$E$10:$E$17),""))</f>
        <v/>
      </c>
      <c r="X675" s="44" t="str">
        <f>IF($P675="High",$T675,IF($P675="Mix",SUMIF('High_Low Voltage Mix Summary'!$B$10:$B$17,$B599,'High_Low Voltage Mix Summary'!$F$10:$F$17),""))</f>
        <v/>
      </c>
      <c r="Y675" s="44" t="str">
        <f>IF($P675="Low",$T675,IF($P675="Mix",SUMIF('High_Low Voltage Mix Summary'!$B$10:$B$17,$B599,'High_Low Voltage Mix Summary'!$G$10:$G$17),""))</f>
        <v/>
      </c>
      <c r="Z675" s="44" t="str">
        <f>IF(OR($P675="High",$P675="Low"),"",IF($P675="Mix",SUMIF('High_Low Voltage Mix Summary'!$B$10:$B$17,$B599,'High_Low Voltage Mix Summary'!$H$10:$H$17),""))</f>
        <v/>
      </c>
      <c r="AB675" s="49">
        <f>SUMIF('Antelope Bailey Split BA'!$B$7:$B$29,B675,'Antelope Bailey Split BA'!$C$7:$C$29)</f>
        <v>0</v>
      </c>
      <c r="AC675" s="49" t="str">
        <f>IF(AND(AB675=1,'Plant Total by Account'!$H$1=2),"EKWRA","")</f>
        <v/>
      </c>
    </row>
    <row r="676" spans="1:29" x14ac:dyDescent="0.2">
      <c r="A676" s="39" t="s">
        <v>132</v>
      </c>
      <c r="B676" s="45" t="s">
        <v>976</v>
      </c>
      <c r="C676" s="40" t="s">
        <v>1508</v>
      </c>
      <c r="D676" s="167">
        <v>89054.720000000001</v>
      </c>
      <c r="E676" s="167">
        <v>7668802.830000001</v>
      </c>
      <c r="F676" s="167">
        <v>0</v>
      </c>
      <c r="G676" s="578">
        <f t="shared" si="91"/>
        <v>7757857.5500000007</v>
      </c>
      <c r="H676" s="41"/>
      <c r="I676" s="41"/>
      <c r="J676" s="41"/>
      <c r="K676" s="41">
        <f t="shared" si="93"/>
        <v>89054.720000000001</v>
      </c>
      <c r="L676" s="41">
        <f t="shared" si="94"/>
        <v>7668802.830000001</v>
      </c>
      <c r="M676" s="41">
        <f t="shared" si="95"/>
        <v>0</v>
      </c>
      <c r="N676" s="363">
        <f t="shared" si="92"/>
        <v>0</v>
      </c>
      <c r="O676" s="43" t="s">
        <v>3309</v>
      </c>
      <c r="P676" s="43"/>
      <c r="R676" s="41">
        <f t="shared" si="88"/>
        <v>0</v>
      </c>
      <c r="S676" s="41">
        <f t="shared" si="89"/>
        <v>0</v>
      </c>
      <c r="T676" s="41">
        <f t="shared" si="90"/>
        <v>0</v>
      </c>
      <c r="U676" s="41"/>
      <c r="V676" s="44" t="str">
        <f>IF($P676="High",$S676,IF($P676="Mix",SUMIF('High_Low Voltage Mix Summary'!$B$10:$B$17,$B600,'High_Low Voltage Mix Summary'!$D$10:$D$17),""))</f>
        <v/>
      </c>
      <c r="W676" s="44" t="str">
        <f>IF($P676="Low",$S676,IF($P676="Mix",SUMIF('High_Low Voltage Mix Summary'!$B$10:$B$17,$B600,'High_Low Voltage Mix Summary'!$E$10:$E$17),""))</f>
        <v/>
      </c>
      <c r="X676" s="44" t="str">
        <f>IF($P676="High",$T676,IF($P676="Mix",SUMIF('High_Low Voltage Mix Summary'!$B$10:$B$17,$B600,'High_Low Voltage Mix Summary'!$F$10:$F$17),""))</f>
        <v/>
      </c>
      <c r="Y676" s="44" t="str">
        <f>IF($P676="Low",$T676,IF($P676="Mix",SUMIF('High_Low Voltage Mix Summary'!$B$10:$B$17,$B600,'High_Low Voltage Mix Summary'!$G$10:$G$17),""))</f>
        <v/>
      </c>
      <c r="Z676" s="44" t="str">
        <f>IF(OR($P676="High",$P676="Low"),"",IF($P676="Mix",SUMIF('High_Low Voltage Mix Summary'!$B$10:$B$17,$B600,'High_Low Voltage Mix Summary'!$H$10:$H$17),""))</f>
        <v/>
      </c>
      <c r="AB676" s="49">
        <f>SUMIF('Antelope Bailey Split BA'!$B$7:$B$29,B676,'Antelope Bailey Split BA'!$C$7:$C$29)</f>
        <v>0</v>
      </c>
      <c r="AC676" s="49" t="str">
        <f>IF(AND(AB676=1,'Plant Total by Account'!$H$1=2),"EKWRA","")</f>
        <v/>
      </c>
    </row>
    <row r="677" spans="1:29" x14ac:dyDescent="0.2">
      <c r="A677" s="39" t="s">
        <v>132</v>
      </c>
      <c r="B677" s="45" t="s">
        <v>977</v>
      </c>
      <c r="C677" s="40" t="s">
        <v>1508</v>
      </c>
      <c r="D677" s="167">
        <v>0</v>
      </c>
      <c r="E677" s="167">
        <v>9447331.0700000003</v>
      </c>
      <c r="F677" s="167">
        <v>0</v>
      </c>
      <c r="G677" s="578">
        <f t="shared" si="91"/>
        <v>9447331.0700000003</v>
      </c>
      <c r="H677" s="41"/>
      <c r="I677" s="41"/>
      <c r="J677" s="41"/>
      <c r="K677" s="41">
        <f t="shared" si="93"/>
        <v>0</v>
      </c>
      <c r="L677" s="41">
        <f t="shared" si="94"/>
        <v>9447331.0700000003</v>
      </c>
      <c r="M677" s="41">
        <f t="shared" si="95"/>
        <v>0</v>
      </c>
      <c r="N677" s="363">
        <f t="shared" si="92"/>
        <v>0</v>
      </c>
      <c r="O677" s="43" t="s">
        <v>3309</v>
      </c>
      <c r="P677" s="43"/>
      <c r="R677" s="41">
        <f t="shared" si="88"/>
        <v>0</v>
      </c>
      <c r="S677" s="41">
        <f t="shared" si="89"/>
        <v>0</v>
      </c>
      <c r="T677" s="41">
        <f t="shared" si="90"/>
        <v>0</v>
      </c>
      <c r="U677" s="41"/>
      <c r="V677" s="44" t="str">
        <f>IF($P677="High",$S677,IF($P677="Mix",SUMIF('High_Low Voltage Mix Summary'!$B$10:$B$17,$B601,'High_Low Voltage Mix Summary'!$D$10:$D$17),""))</f>
        <v/>
      </c>
      <c r="W677" s="44" t="str">
        <f>IF($P677="Low",$S677,IF($P677="Mix",SUMIF('High_Low Voltage Mix Summary'!$B$10:$B$17,$B601,'High_Low Voltage Mix Summary'!$E$10:$E$17),""))</f>
        <v/>
      </c>
      <c r="X677" s="44" t="str">
        <f>IF($P677="High",$T677,IF($P677="Mix",SUMIF('High_Low Voltage Mix Summary'!$B$10:$B$17,$B601,'High_Low Voltage Mix Summary'!$F$10:$F$17),""))</f>
        <v/>
      </c>
      <c r="Y677" s="44" t="str">
        <f>IF($P677="Low",$T677,IF($P677="Mix",SUMIF('High_Low Voltage Mix Summary'!$B$10:$B$17,$B601,'High_Low Voltage Mix Summary'!$G$10:$G$17),""))</f>
        <v/>
      </c>
      <c r="Z677" s="44" t="str">
        <f>IF(OR($P677="High",$P677="Low"),"",IF($P677="Mix",SUMIF('High_Low Voltage Mix Summary'!$B$10:$B$17,$B601,'High_Low Voltage Mix Summary'!$H$10:$H$17),""))</f>
        <v/>
      </c>
      <c r="AB677" s="49">
        <f>SUMIF('Antelope Bailey Split BA'!$B$7:$B$29,B677,'Antelope Bailey Split BA'!$C$7:$C$29)</f>
        <v>0</v>
      </c>
      <c r="AC677" s="49" t="str">
        <f>IF(AND(AB677=1,'Plant Total by Account'!$H$1=2),"EKWRA","")</f>
        <v/>
      </c>
    </row>
    <row r="678" spans="1:29" x14ac:dyDescent="0.2">
      <c r="A678" s="39" t="s">
        <v>3292</v>
      </c>
      <c r="B678" s="153" t="s">
        <v>3293</v>
      </c>
      <c r="C678" s="40"/>
      <c r="D678" s="53">
        <v>0</v>
      </c>
      <c r="E678" s="53">
        <v>0</v>
      </c>
      <c r="F678" s="53">
        <v>12825.99</v>
      </c>
      <c r="G678" s="578">
        <f t="shared" si="91"/>
        <v>12825.99</v>
      </c>
      <c r="H678" s="173"/>
      <c r="I678" s="173"/>
      <c r="J678" s="173"/>
      <c r="K678" s="173">
        <f t="shared" si="93"/>
        <v>0</v>
      </c>
      <c r="L678" s="173">
        <f t="shared" si="94"/>
        <v>0</v>
      </c>
      <c r="M678" s="173">
        <f t="shared" si="95"/>
        <v>12825.99</v>
      </c>
      <c r="N678" s="363">
        <f t="shared" si="92"/>
        <v>0</v>
      </c>
      <c r="O678" s="43" t="s">
        <v>3309</v>
      </c>
      <c r="P678" s="43"/>
      <c r="R678" s="41">
        <f t="shared" si="88"/>
        <v>0</v>
      </c>
      <c r="S678" s="41">
        <f t="shared" si="89"/>
        <v>0</v>
      </c>
      <c r="T678" s="41">
        <f t="shared" si="90"/>
        <v>0</v>
      </c>
      <c r="U678" s="41"/>
      <c r="V678" s="44" t="str">
        <f>IF($P678="High",$S678,IF($P678="Mix",SUMIF('High_Low Voltage Mix Summary'!$B$10:$B$17,$B641,'High_Low Voltage Mix Summary'!$D$10:$D$17),""))</f>
        <v/>
      </c>
      <c r="W678" s="44" t="str">
        <f>IF($P678="Low",$S678,IF($P678="Mix",SUMIF('High_Low Voltage Mix Summary'!$B$10:$B$17,$B641,'High_Low Voltage Mix Summary'!$E$10:$E$17),""))</f>
        <v/>
      </c>
      <c r="X678" s="44" t="str">
        <f>IF($P678="High",$T678,IF($P678="Mix",SUMIF('High_Low Voltage Mix Summary'!$B$10:$B$17,$B641,'High_Low Voltage Mix Summary'!$F$10:$F$17),""))</f>
        <v/>
      </c>
      <c r="Y678" s="44" t="str">
        <f>IF($P678="Low",$T678,IF($P678="Mix",SUMIF('High_Low Voltage Mix Summary'!$B$10:$B$17,$B641,'High_Low Voltage Mix Summary'!$G$10:$G$17),""))</f>
        <v/>
      </c>
      <c r="Z678" s="44" t="str">
        <f>IF(OR($P678="High",$P678="Low"),"",IF($P678="Mix",SUMIF('High_Low Voltage Mix Summary'!$B$10:$B$17,$B641,'High_Low Voltage Mix Summary'!$H$10:$H$17),""))</f>
        <v/>
      </c>
      <c r="AB678" s="49">
        <f>SUMIF('Antelope Bailey Split BA'!$B$7:$B$29,B678,'Antelope Bailey Split BA'!$C$7:$C$29)</f>
        <v>0</v>
      </c>
      <c r="AC678" s="49" t="str">
        <f>IF(AND(AB678=1,'Plant Total by Account'!$H$1=2),"EKWRA","")</f>
        <v/>
      </c>
    </row>
    <row r="679" spans="1:29" x14ac:dyDescent="0.2">
      <c r="A679" s="39" t="s">
        <v>3294</v>
      </c>
      <c r="B679" s="45" t="s">
        <v>3295</v>
      </c>
      <c r="C679" s="40"/>
      <c r="D679" s="41">
        <v>0</v>
      </c>
      <c r="E679" s="41">
        <v>0</v>
      </c>
      <c r="F679" s="41">
        <v>6699460.5699999994</v>
      </c>
      <c r="G679" s="578">
        <f t="shared" si="91"/>
        <v>6699460.5699999994</v>
      </c>
      <c r="H679" s="173"/>
      <c r="I679" s="173"/>
      <c r="J679" s="173"/>
      <c r="K679" s="173">
        <f t="shared" si="93"/>
        <v>0</v>
      </c>
      <c r="L679" s="173">
        <f t="shared" si="94"/>
        <v>0</v>
      </c>
      <c r="M679" s="173">
        <f t="shared" si="95"/>
        <v>6699460.5699999994</v>
      </c>
      <c r="N679" s="363">
        <f t="shared" si="92"/>
        <v>0</v>
      </c>
      <c r="O679" s="43" t="s">
        <v>3309</v>
      </c>
      <c r="P679" s="43"/>
      <c r="R679" s="41"/>
      <c r="S679" s="41"/>
      <c r="T679" s="41"/>
      <c r="U679" s="41"/>
      <c r="V679" s="44"/>
      <c r="W679" s="44"/>
      <c r="X679" s="44"/>
      <c r="Y679" s="44"/>
      <c r="Z679" s="44"/>
      <c r="AB679" s="49">
        <f>SUMIF('Antelope Bailey Split BA'!$B$7:$B$29,B679,'Antelope Bailey Split BA'!$C$7:$C$29)</f>
        <v>0</v>
      </c>
      <c r="AC679" s="49" t="str">
        <f>IF(AND(AB679=1,'Plant Total by Account'!$H$1=2),"EKWRA","")</f>
        <v/>
      </c>
    </row>
    <row r="680" spans="1:29" x14ac:dyDescent="0.2">
      <c r="A680" s="39" t="s">
        <v>3296</v>
      </c>
      <c r="B680" s="133" t="s">
        <v>3297</v>
      </c>
      <c r="C680" s="40"/>
      <c r="D680" s="53">
        <v>367.90000000000003</v>
      </c>
      <c r="E680" s="53">
        <v>0</v>
      </c>
      <c r="F680" s="53">
        <v>428393.86</v>
      </c>
      <c r="G680" s="578">
        <f t="shared" si="91"/>
        <v>428761.76</v>
      </c>
      <c r="H680" s="173"/>
      <c r="I680" s="173"/>
      <c r="J680" s="173"/>
      <c r="K680" s="173">
        <f t="shared" si="93"/>
        <v>367.90000000000003</v>
      </c>
      <c r="L680" s="173">
        <f t="shared" si="94"/>
        <v>0</v>
      </c>
      <c r="M680" s="173">
        <f t="shared" si="95"/>
        <v>428393.86</v>
      </c>
      <c r="N680" s="363">
        <f t="shared" si="92"/>
        <v>0</v>
      </c>
      <c r="O680" s="43" t="s">
        <v>3309</v>
      </c>
      <c r="P680" s="43"/>
      <c r="R680" s="41">
        <f t="shared" ref="R680:R711" si="96">SUM(H680:J680)</f>
        <v>0</v>
      </c>
      <c r="S680" s="41">
        <f t="shared" ref="S680:S711" si="97">H680</f>
        <v>0</v>
      </c>
      <c r="T680" s="41">
        <f t="shared" ref="T680:T711" si="98">SUM(I680:J680)</f>
        <v>0</v>
      </c>
      <c r="U680" s="41"/>
      <c r="V680" s="44" t="str">
        <f>IF($P680="High",$S680,IF($P680="Mix",SUMIF('High_Low Voltage Mix Summary'!$B$10:$B$17,$B642,'High_Low Voltage Mix Summary'!$D$10:$D$17),""))</f>
        <v/>
      </c>
      <c r="W680" s="44" t="str">
        <f>IF($P680="Low",$S680,IF($P680="Mix",SUMIF('High_Low Voltage Mix Summary'!$B$10:$B$17,$B642,'High_Low Voltage Mix Summary'!$E$10:$E$17),""))</f>
        <v/>
      </c>
      <c r="X680" s="44" t="str">
        <f>IF($P680="High",$T680,IF($P680="Mix",SUMIF('High_Low Voltage Mix Summary'!$B$10:$B$17,$B642,'High_Low Voltage Mix Summary'!$F$10:$F$17),""))</f>
        <v/>
      </c>
      <c r="Y680" s="44" t="str">
        <f>IF($P680="Low",$T680,IF($P680="Mix",SUMIF('High_Low Voltage Mix Summary'!$B$10:$B$17,$B642,'High_Low Voltage Mix Summary'!$G$10:$G$17),""))</f>
        <v/>
      </c>
      <c r="Z680" s="44" t="str">
        <f>IF(OR($P680="High",$P680="Low"),"",IF($P680="Mix",SUMIF('High_Low Voltage Mix Summary'!$B$10:$B$17,$B642,'High_Low Voltage Mix Summary'!$H$10:$H$17),""))</f>
        <v/>
      </c>
      <c r="AB680" s="49">
        <f>SUMIF('Antelope Bailey Split BA'!$B$7:$B$29,B680,'Antelope Bailey Split BA'!$C$7:$C$29)</f>
        <v>0</v>
      </c>
      <c r="AC680" s="49" t="str">
        <f>IF(AND(AB680=1,'Plant Total by Account'!$H$1=2),"EKWRA","")</f>
        <v/>
      </c>
    </row>
    <row r="681" spans="1:29" x14ac:dyDescent="0.2">
      <c r="A681" s="39" t="s">
        <v>2475</v>
      </c>
      <c r="B681" s="45" t="s">
        <v>1175</v>
      </c>
      <c r="C681" s="40" t="s">
        <v>3329</v>
      </c>
      <c r="D681" s="53">
        <v>0</v>
      </c>
      <c r="E681" s="53">
        <v>0</v>
      </c>
      <c r="F681" s="53">
        <v>124469.61</v>
      </c>
      <c r="G681" s="578">
        <f t="shared" si="91"/>
        <v>124469.61</v>
      </c>
      <c r="H681" s="41"/>
      <c r="I681" s="41"/>
      <c r="J681" s="41"/>
      <c r="K681" s="41">
        <f t="shared" si="93"/>
        <v>0</v>
      </c>
      <c r="L681" s="41">
        <f t="shared" si="94"/>
        <v>0</v>
      </c>
      <c r="M681" s="41">
        <f t="shared" si="95"/>
        <v>124469.61</v>
      </c>
      <c r="N681" s="363">
        <f t="shared" si="92"/>
        <v>0</v>
      </c>
      <c r="O681" s="43" t="s">
        <v>3309</v>
      </c>
      <c r="P681" s="43"/>
      <c r="R681" s="41">
        <f t="shared" si="96"/>
        <v>0</v>
      </c>
      <c r="S681" s="41">
        <f t="shared" si="97"/>
        <v>0</v>
      </c>
      <c r="T681" s="41">
        <f t="shared" si="98"/>
        <v>0</v>
      </c>
      <c r="U681" s="41"/>
      <c r="V681" s="44" t="str">
        <f>IF($P681="High",$S681,IF($P681="Mix",SUMIF('High_Low Voltage Mix Summary'!$B$10:$B$17,$B502,'High_Low Voltage Mix Summary'!$D$10:$D$17),""))</f>
        <v/>
      </c>
      <c r="W681" s="44" t="str">
        <f>IF($P681="Low",$S681,IF($P681="Mix",SUMIF('High_Low Voltage Mix Summary'!$B$10:$B$17,$B502,'High_Low Voltage Mix Summary'!$E$10:$E$17),""))</f>
        <v/>
      </c>
      <c r="X681" s="44" t="str">
        <f>IF($P681="High",$T681,IF($P681="Mix",SUMIF('High_Low Voltage Mix Summary'!$B$10:$B$17,$B502,'High_Low Voltage Mix Summary'!$F$10:$F$17),""))</f>
        <v/>
      </c>
      <c r="Y681" s="44" t="str">
        <f>IF($P681="Low",$T681,IF($P681="Mix",SUMIF('High_Low Voltage Mix Summary'!$B$10:$B$17,$B502,'High_Low Voltage Mix Summary'!$G$10:$G$17),""))</f>
        <v/>
      </c>
      <c r="Z681" s="44" t="str">
        <f>IF(OR($P681="High",$P681="Low"),"",IF($P681="Mix",SUMIF('High_Low Voltage Mix Summary'!$B$10:$B$17,$B502,'High_Low Voltage Mix Summary'!$H$10:$H$17),""))</f>
        <v/>
      </c>
      <c r="AB681" s="49">
        <f>SUMIF('Antelope Bailey Split BA'!$B$7:$B$29,B681,'Antelope Bailey Split BA'!$C$7:$C$29)</f>
        <v>0</v>
      </c>
      <c r="AC681" s="49" t="str">
        <f>IF(AND(AB681=1,'Plant Total by Account'!$H$1=2),"EKWRA","")</f>
        <v/>
      </c>
    </row>
    <row r="682" spans="1:29" x14ac:dyDescent="0.2">
      <c r="A682" s="39" t="s">
        <v>2479</v>
      </c>
      <c r="B682" s="45" t="s">
        <v>1178</v>
      </c>
      <c r="C682" s="40" t="s">
        <v>3329</v>
      </c>
      <c r="D682" s="53">
        <v>0</v>
      </c>
      <c r="E682" s="53">
        <v>0</v>
      </c>
      <c r="F682" s="53">
        <v>7878.55</v>
      </c>
      <c r="G682" s="578">
        <f t="shared" si="91"/>
        <v>7878.55</v>
      </c>
      <c r="H682" s="41"/>
      <c r="I682" s="41"/>
      <c r="J682" s="41"/>
      <c r="K682" s="41">
        <f t="shared" si="93"/>
        <v>0</v>
      </c>
      <c r="L682" s="41">
        <f t="shared" si="94"/>
        <v>0</v>
      </c>
      <c r="M682" s="41">
        <f t="shared" si="95"/>
        <v>7878.55</v>
      </c>
      <c r="N682" s="363">
        <f t="shared" si="92"/>
        <v>0</v>
      </c>
      <c r="O682" s="43" t="s">
        <v>3309</v>
      </c>
      <c r="P682" s="43"/>
      <c r="R682" s="41">
        <f t="shared" si="96"/>
        <v>0</v>
      </c>
      <c r="S682" s="41">
        <f t="shared" si="97"/>
        <v>0</v>
      </c>
      <c r="T682" s="41">
        <f t="shared" si="98"/>
        <v>0</v>
      </c>
      <c r="U682" s="41"/>
      <c r="V682" s="44" t="str">
        <f>IF($P682="High",$S682,IF($P682="Mix",SUMIF('High_Low Voltage Mix Summary'!$B$10:$B$17,$B503,'High_Low Voltage Mix Summary'!$D$10:$D$17),""))</f>
        <v/>
      </c>
      <c r="W682" s="44" t="str">
        <f>IF($P682="Low",$S682,IF($P682="Mix",SUMIF('High_Low Voltage Mix Summary'!$B$10:$B$17,$B503,'High_Low Voltage Mix Summary'!$E$10:$E$17),""))</f>
        <v/>
      </c>
      <c r="X682" s="44" t="str">
        <f>IF($P682="High",$T682,IF($P682="Mix",SUMIF('High_Low Voltage Mix Summary'!$B$10:$B$17,$B503,'High_Low Voltage Mix Summary'!$F$10:$F$17),""))</f>
        <v/>
      </c>
      <c r="Y682" s="44" t="str">
        <f>IF($P682="Low",$T682,IF($P682="Mix",SUMIF('High_Low Voltage Mix Summary'!$B$10:$B$17,$B503,'High_Low Voltage Mix Summary'!$G$10:$G$17),""))</f>
        <v/>
      </c>
      <c r="Z682" s="44" t="str">
        <f>IF(OR($P682="High",$P682="Low"),"",IF($P682="Mix",SUMIF('High_Low Voltage Mix Summary'!$B$10:$B$17,$B503,'High_Low Voltage Mix Summary'!$H$10:$H$17),""))</f>
        <v/>
      </c>
      <c r="AB682" s="49">
        <f>SUMIF('Antelope Bailey Split BA'!$B$7:$B$29,B682,'Antelope Bailey Split BA'!$C$7:$C$29)</f>
        <v>0</v>
      </c>
      <c r="AC682" s="49" t="str">
        <f>IF(AND(AB682=1,'Plant Total by Account'!$H$1=2),"EKWRA","")</f>
        <v/>
      </c>
    </row>
    <row r="683" spans="1:29" x14ac:dyDescent="0.2">
      <c r="A683" s="39" t="s">
        <v>2481</v>
      </c>
      <c r="B683" s="45" t="s">
        <v>1180</v>
      </c>
      <c r="C683" s="40" t="s">
        <v>3331</v>
      </c>
      <c r="D683" s="53">
        <v>0</v>
      </c>
      <c r="E683" s="53">
        <v>0</v>
      </c>
      <c r="F683" s="53">
        <v>147755.23000000001</v>
      </c>
      <c r="G683" s="578">
        <f t="shared" si="91"/>
        <v>147755.23000000001</v>
      </c>
      <c r="H683" s="41"/>
      <c r="I683" s="41"/>
      <c r="J683" s="41"/>
      <c r="K683" s="41">
        <f t="shared" si="93"/>
        <v>0</v>
      </c>
      <c r="L683" s="41">
        <f t="shared" si="94"/>
        <v>0</v>
      </c>
      <c r="M683" s="41">
        <f t="shared" si="95"/>
        <v>147755.23000000001</v>
      </c>
      <c r="N683" s="363">
        <f t="shared" si="92"/>
        <v>0</v>
      </c>
      <c r="O683" s="43" t="s">
        <v>3309</v>
      </c>
      <c r="P683" s="43"/>
      <c r="R683" s="41">
        <f t="shared" si="96"/>
        <v>0</v>
      </c>
      <c r="S683" s="41">
        <f t="shared" si="97"/>
        <v>0</v>
      </c>
      <c r="T683" s="41">
        <f t="shared" si="98"/>
        <v>0</v>
      </c>
      <c r="U683" s="41"/>
      <c r="V683" s="44" t="str">
        <f>IF($P683="High",$S683,IF($P683="Mix",SUMIF('High_Low Voltage Mix Summary'!$B$10:$B$17,$B1468,'High_Low Voltage Mix Summary'!$D$10:$D$17),""))</f>
        <v/>
      </c>
      <c r="W683" s="44" t="str">
        <f>IF($P683="Low",$S683,IF($P683="Mix",SUMIF('High_Low Voltage Mix Summary'!$B$10:$B$17,$B1468,'High_Low Voltage Mix Summary'!$E$10:$E$17),""))</f>
        <v/>
      </c>
      <c r="X683" s="44" t="str">
        <f>IF($P683="High",$T683,IF($P683="Mix",SUMIF('High_Low Voltage Mix Summary'!$B$10:$B$17,$B1468,'High_Low Voltage Mix Summary'!$F$10:$F$17),""))</f>
        <v/>
      </c>
      <c r="Y683" s="44" t="str">
        <f>IF($P683="Low",$T683,IF($P683="Mix",SUMIF('High_Low Voltage Mix Summary'!$B$10:$B$17,$B1468,'High_Low Voltage Mix Summary'!$G$10:$G$17),""))</f>
        <v/>
      </c>
      <c r="Z683" s="44" t="str">
        <f>IF(OR($P683="High",$P683="Low"),"",IF($P683="Mix",SUMIF('High_Low Voltage Mix Summary'!$B$10:$B$17,$B1468,'High_Low Voltage Mix Summary'!$H$10:$H$17),""))</f>
        <v/>
      </c>
      <c r="AB683" s="49">
        <f>SUMIF('Antelope Bailey Split BA'!$B$7:$B$29,B683,'Antelope Bailey Split BA'!$C$7:$C$29)</f>
        <v>0</v>
      </c>
      <c r="AC683" s="49" t="str">
        <f>IF(AND(AB683=1,'Plant Total by Account'!$H$1=2),"EKWRA","")</f>
        <v/>
      </c>
    </row>
    <row r="684" spans="1:29" x14ac:dyDescent="0.2">
      <c r="A684" s="39" t="s">
        <v>2488</v>
      </c>
      <c r="B684" s="45" t="s">
        <v>133</v>
      </c>
      <c r="C684" s="40" t="s">
        <v>3329</v>
      </c>
      <c r="D684" s="53">
        <v>0</v>
      </c>
      <c r="E684" s="53">
        <v>6417.4400000000005</v>
      </c>
      <c r="F684" s="53">
        <v>0</v>
      </c>
      <c r="G684" s="578">
        <f t="shared" si="91"/>
        <v>6417.4400000000005</v>
      </c>
      <c r="H684" s="41"/>
      <c r="I684" s="41"/>
      <c r="J684" s="41"/>
      <c r="K684" s="41">
        <f t="shared" si="93"/>
        <v>0</v>
      </c>
      <c r="L684" s="41">
        <f t="shared" si="94"/>
        <v>6417.4400000000005</v>
      </c>
      <c r="M684" s="41">
        <f t="shared" si="95"/>
        <v>0</v>
      </c>
      <c r="N684" s="363">
        <f t="shared" si="92"/>
        <v>0</v>
      </c>
      <c r="O684" s="43" t="s">
        <v>3309</v>
      </c>
      <c r="P684" s="43"/>
      <c r="R684" s="41">
        <f t="shared" si="96"/>
        <v>0</v>
      </c>
      <c r="S684" s="41">
        <f t="shared" si="97"/>
        <v>0</v>
      </c>
      <c r="T684" s="41">
        <f t="shared" si="98"/>
        <v>0</v>
      </c>
      <c r="U684" s="41"/>
      <c r="V684" s="44" t="str">
        <f>IF($P684="High",$S684,IF($P684="Mix",SUMIF('High_Low Voltage Mix Summary'!$B$10:$B$17,$B504,'High_Low Voltage Mix Summary'!$D$10:$D$17),""))</f>
        <v/>
      </c>
      <c r="W684" s="44" t="str">
        <f>IF($P684="Low",$S684,IF($P684="Mix",SUMIF('High_Low Voltage Mix Summary'!$B$10:$B$17,$B504,'High_Low Voltage Mix Summary'!$E$10:$E$17),""))</f>
        <v/>
      </c>
      <c r="X684" s="44" t="str">
        <f>IF($P684="High",$T684,IF($P684="Mix",SUMIF('High_Low Voltage Mix Summary'!$B$10:$B$17,$B504,'High_Low Voltage Mix Summary'!$F$10:$F$17),""))</f>
        <v/>
      </c>
      <c r="Y684" s="44" t="str">
        <f>IF($P684="Low",$T684,IF($P684="Mix",SUMIF('High_Low Voltage Mix Summary'!$B$10:$B$17,$B504,'High_Low Voltage Mix Summary'!$G$10:$G$17),""))</f>
        <v/>
      </c>
      <c r="Z684" s="44" t="str">
        <f>IF(OR($P684="High",$P684="Low"),"",IF($P684="Mix",SUMIF('High_Low Voltage Mix Summary'!$B$10:$B$17,$B504,'High_Low Voltage Mix Summary'!$H$10:$H$17),""))</f>
        <v/>
      </c>
      <c r="AB684" s="49">
        <f>SUMIF('Antelope Bailey Split BA'!$B$7:$B$29,B684,'Antelope Bailey Split BA'!$C$7:$C$29)</f>
        <v>0</v>
      </c>
      <c r="AC684" s="49" t="str">
        <f>IF(AND(AB684=1,'Plant Total by Account'!$H$1=2),"EKWRA","")</f>
        <v/>
      </c>
    </row>
    <row r="685" spans="1:29" x14ac:dyDescent="0.2">
      <c r="A685" s="39" t="s">
        <v>2490</v>
      </c>
      <c r="B685" s="45" t="s">
        <v>134</v>
      </c>
      <c r="C685" s="40" t="s">
        <v>3334</v>
      </c>
      <c r="D685" s="53">
        <v>0</v>
      </c>
      <c r="E685" s="53">
        <v>0</v>
      </c>
      <c r="F685" s="53">
        <v>35285.060000000005</v>
      </c>
      <c r="G685" s="578">
        <f t="shared" si="91"/>
        <v>35285.060000000005</v>
      </c>
      <c r="H685" s="41"/>
      <c r="I685" s="41"/>
      <c r="J685" s="41"/>
      <c r="K685" s="41">
        <f t="shared" si="93"/>
        <v>0</v>
      </c>
      <c r="L685" s="41">
        <f t="shared" si="94"/>
        <v>0</v>
      </c>
      <c r="M685" s="41">
        <f t="shared" si="95"/>
        <v>35285.060000000005</v>
      </c>
      <c r="N685" s="363">
        <f t="shared" si="92"/>
        <v>0</v>
      </c>
      <c r="O685" s="43" t="s">
        <v>3309</v>
      </c>
      <c r="P685" s="43"/>
      <c r="R685" s="41">
        <f t="shared" si="96"/>
        <v>0</v>
      </c>
      <c r="S685" s="41">
        <f t="shared" si="97"/>
        <v>0</v>
      </c>
      <c r="T685" s="41">
        <f t="shared" si="98"/>
        <v>0</v>
      </c>
      <c r="U685" s="41"/>
      <c r="V685" s="44" t="str">
        <f>IF($P685="High",$S685,IF($P685="Mix",SUMIF('High_Low Voltage Mix Summary'!$B$10:$B$17,$B708,'High_Low Voltage Mix Summary'!$D$10:$D$17),""))</f>
        <v/>
      </c>
      <c r="W685" s="44" t="str">
        <f>IF($P685="Low",$S685,IF($P685="Mix",SUMIF('High_Low Voltage Mix Summary'!$B$10:$B$17,$B708,'High_Low Voltage Mix Summary'!$E$10:$E$17),""))</f>
        <v/>
      </c>
      <c r="X685" s="44" t="str">
        <f>IF($P685="High",$T685,IF($P685="Mix",SUMIF('High_Low Voltage Mix Summary'!$B$10:$B$17,$B708,'High_Low Voltage Mix Summary'!$F$10:$F$17),""))</f>
        <v/>
      </c>
      <c r="Y685" s="44" t="str">
        <f>IF($P685="Low",$T685,IF($P685="Mix",SUMIF('High_Low Voltage Mix Summary'!$B$10:$B$17,$B708,'High_Low Voltage Mix Summary'!$G$10:$G$17),""))</f>
        <v/>
      </c>
      <c r="Z685" s="44" t="str">
        <f>IF(OR($P685="High",$P685="Low"),"",IF($P685="Mix",SUMIF('High_Low Voltage Mix Summary'!$B$10:$B$17,$B708,'High_Low Voltage Mix Summary'!$H$10:$H$17),""))</f>
        <v/>
      </c>
      <c r="AB685" s="49">
        <f>SUMIF('Antelope Bailey Split BA'!$B$7:$B$29,B685,'Antelope Bailey Split BA'!$C$7:$C$29)</f>
        <v>0</v>
      </c>
      <c r="AC685" s="49" t="str">
        <f>IF(AND(AB685=1,'Plant Total by Account'!$H$1=2),"EKWRA","")</f>
        <v/>
      </c>
    </row>
    <row r="686" spans="1:29" x14ac:dyDescent="0.2">
      <c r="A686" s="39" t="s">
        <v>2493</v>
      </c>
      <c r="B686" s="45" t="s">
        <v>1189</v>
      </c>
      <c r="C686" s="40" t="s">
        <v>3329</v>
      </c>
      <c r="D686" s="53">
        <v>0</v>
      </c>
      <c r="E686" s="53">
        <v>0</v>
      </c>
      <c r="F686" s="53">
        <v>378329.74</v>
      </c>
      <c r="G686" s="578">
        <f t="shared" si="91"/>
        <v>378329.74</v>
      </c>
      <c r="H686" s="41"/>
      <c r="I686" s="41"/>
      <c r="J686" s="41"/>
      <c r="K686" s="41">
        <f t="shared" si="93"/>
        <v>0</v>
      </c>
      <c r="L686" s="41">
        <f t="shared" si="94"/>
        <v>0</v>
      </c>
      <c r="M686" s="41">
        <f t="shared" si="95"/>
        <v>378329.74</v>
      </c>
      <c r="N686" s="363">
        <f t="shared" si="92"/>
        <v>0</v>
      </c>
      <c r="O686" s="43" t="s">
        <v>3309</v>
      </c>
      <c r="P686" s="43"/>
      <c r="R686" s="41">
        <f t="shared" si="96"/>
        <v>0</v>
      </c>
      <c r="S686" s="41">
        <f t="shared" si="97"/>
        <v>0</v>
      </c>
      <c r="T686" s="41">
        <f t="shared" si="98"/>
        <v>0</v>
      </c>
      <c r="U686" s="41"/>
      <c r="V686" s="44" t="str">
        <f>IF($P686="High",$S686,IF($P686="Mix",SUMIF('High_Low Voltage Mix Summary'!$B$10:$B$17,$B709,'High_Low Voltage Mix Summary'!$D$10:$D$17),""))</f>
        <v/>
      </c>
      <c r="W686" s="44" t="str">
        <f>IF($P686="Low",$S686,IF($P686="Mix",SUMIF('High_Low Voltage Mix Summary'!$B$10:$B$17,$B709,'High_Low Voltage Mix Summary'!$E$10:$E$17),""))</f>
        <v/>
      </c>
      <c r="X686" s="44" t="str">
        <f>IF($P686="High",$T686,IF($P686="Mix",SUMIF('High_Low Voltage Mix Summary'!$B$10:$B$17,$B709,'High_Low Voltage Mix Summary'!$F$10:$F$17),""))</f>
        <v/>
      </c>
      <c r="Y686" s="44" t="str">
        <f>IF($P686="Low",$T686,IF($P686="Mix",SUMIF('High_Low Voltage Mix Summary'!$B$10:$B$17,$B709,'High_Low Voltage Mix Summary'!$G$10:$G$17),""))</f>
        <v/>
      </c>
      <c r="Z686" s="44" t="str">
        <f>IF(OR($P686="High",$P686="Low"),"",IF($P686="Mix",SUMIF('High_Low Voltage Mix Summary'!$B$10:$B$17,$B709,'High_Low Voltage Mix Summary'!$H$10:$H$17),""))</f>
        <v/>
      </c>
      <c r="AB686" s="49">
        <f>SUMIF('Antelope Bailey Split BA'!$B$7:$B$29,B686,'Antelope Bailey Split BA'!$C$7:$C$29)</f>
        <v>0</v>
      </c>
      <c r="AC686" s="49" t="str">
        <f>IF(AND(AB686=1,'Plant Total by Account'!$H$1=2),"EKWRA","")</f>
        <v/>
      </c>
    </row>
    <row r="687" spans="1:29" x14ac:dyDescent="0.2">
      <c r="A687" s="39" t="s">
        <v>2497</v>
      </c>
      <c r="B687" s="45" t="s">
        <v>1193</v>
      </c>
      <c r="C687" s="40" t="s">
        <v>3334</v>
      </c>
      <c r="D687" s="53">
        <v>0</v>
      </c>
      <c r="E687" s="53">
        <v>0</v>
      </c>
      <c r="F687" s="53">
        <v>7514.95</v>
      </c>
      <c r="G687" s="578">
        <f t="shared" si="91"/>
        <v>7514.95</v>
      </c>
      <c r="H687" s="41"/>
      <c r="I687" s="41"/>
      <c r="J687" s="41"/>
      <c r="K687" s="41">
        <f t="shared" si="93"/>
        <v>0</v>
      </c>
      <c r="L687" s="41">
        <f t="shared" si="94"/>
        <v>0</v>
      </c>
      <c r="M687" s="41">
        <f t="shared" si="95"/>
        <v>7514.95</v>
      </c>
      <c r="N687" s="363">
        <f t="shared" si="92"/>
        <v>0</v>
      </c>
      <c r="O687" s="43" t="s">
        <v>3309</v>
      </c>
      <c r="P687" s="43"/>
      <c r="R687" s="41">
        <f t="shared" si="96"/>
        <v>0</v>
      </c>
      <c r="S687" s="41">
        <f t="shared" si="97"/>
        <v>0</v>
      </c>
      <c r="T687" s="41">
        <f t="shared" si="98"/>
        <v>0</v>
      </c>
      <c r="U687" s="41"/>
      <c r="V687" s="44" t="str">
        <f>IF($P687="High",$S687,IF($P687="Mix",SUMIF('High_Low Voltage Mix Summary'!$B$10:$B$17,$B710,'High_Low Voltage Mix Summary'!$D$10:$D$17),""))</f>
        <v/>
      </c>
      <c r="W687" s="44" t="str">
        <f>IF($P687="Low",$S687,IF($P687="Mix",SUMIF('High_Low Voltage Mix Summary'!$B$10:$B$17,$B710,'High_Low Voltage Mix Summary'!$E$10:$E$17),""))</f>
        <v/>
      </c>
      <c r="X687" s="44" t="str">
        <f>IF($P687="High",$T687,IF($P687="Mix",SUMIF('High_Low Voltage Mix Summary'!$B$10:$B$17,$B710,'High_Low Voltage Mix Summary'!$F$10:$F$17),""))</f>
        <v/>
      </c>
      <c r="Y687" s="44" t="str">
        <f>IF($P687="Low",$T687,IF($P687="Mix",SUMIF('High_Low Voltage Mix Summary'!$B$10:$B$17,$B710,'High_Low Voltage Mix Summary'!$G$10:$G$17),""))</f>
        <v/>
      </c>
      <c r="Z687" s="44" t="str">
        <f>IF(OR($P687="High",$P687="Low"),"",IF($P687="Mix",SUMIF('High_Low Voltage Mix Summary'!$B$10:$B$17,$B710,'High_Low Voltage Mix Summary'!$H$10:$H$17),""))</f>
        <v/>
      </c>
      <c r="AB687" s="49">
        <f>SUMIF('Antelope Bailey Split BA'!$B$7:$B$29,B687,'Antelope Bailey Split BA'!$C$7:$C$29)</f>
        <v>0</v>
      </c>
      <c r="AC687" s="49" t="str">
        <f>IF(AND(AB687=1,'Plant Total by Account'!$H$1=2),"EKWRA","")</f>
        <v/>
      </c>
    </row>
    <row r="688" spans="1:29" x14ac:dyDescent="0.2">
      <c r="A688" s="39" t="s">
        <v>2498</v>
      </c>
      <c r="B688" s="45" t="s">
        <v>1194</v>
      </c>
      <c r="C688" s="40" t="s">
        <v>3329</v>
      </c>
      <c r="D688" s="53">
        <v>0</v>
      </c>
      <c r="E688" s="53">
        <v>0</v>
      </c>
      <c r="F688" s="53">
        <v>15797.45</v>
      </c>
      <c r="G688" s="578">
        <f t="shared" si="91"/>
        <v>15797.45</v>
      </c>
      <c r="H688" s="41"/>
      <c r="I688" s="41"/>
      <c r="J688" s="41"/>
      <c r="K688" s="41">
        <f t="shared" si="93"/>
        <v>0</v>
      </c>
      <c r="L688" s="41">
        <f t="shared" si="94"/>
        <v>0</v>
      </c>
      <c r="M688" s="41">
        <f t="shared" si="95"/>
        <v>15797.45</v>
      </c>
      <c r="N688" s="363">
        <f t="shared" si="92"/>
        <v>0</v>
      </c>
      <c r="O688" s="43" t="s">
        <v>3309</v>
      </c>
      <c r="P688" s="43"/>
      <c r="R688" s="41">
        <f t="shared" si="96"/>
        <v>0</v>
      </c>
      <c r="S688" s="41">
        <f t="shared" si="97"/>
        <v>0</v>
      </c>
      <c r="T688" s="41">
        <f t="shared" si="98"/>
        <v>0</v>
      </c>
      <c r="U688" s="41"/>
      <c r="V688" s="44" t="str">
        <f>IF($P688="High",$S688,IF($P688="Mix",SUMIF('High_Low Voltage Mix Summary'!$B$10:$B$17,$B711,'High_Low Voltage Mix Summary'!$D$10:$D$17),""))</f>
        <v/>
      </c>
      <c r="W688" s="44" t="str">
        <f>IF($P688="Low",$S688,IF($P688="Mix",SUMIF('High_Low Voltage Mix Summary'!$B$10:$B$17,$B711,'High_Low Voltage Mix Summary'!$E$10:$E$17),""))</f>
        <v/>
      </c>
      <c r="X688" s="44" t="str">
        <f>IF($P688="High",$T688,IF($P688="Mix",SUMIF('High_Low Voltage Mix Summary'!$B$10:$B$17,$B711,'High_Low Voltage Mix Summary'!$F$10:$F$17),""))</f>
        <v/>
      </c>
      <c r="Y688" s="44" t="str">
        <f>IF($P688="Low",$T688,IF($P688="Mix",SUMIF('High_Low Voltage Mix Summary'!$B$10:$B$17,$B711,'High_Low Voltage Mix Summary'!$G$10:$G$17),""))</f>
        <v/>
      </c>
      <c r="Z688" s="44" t="str">
        <f>IF(OR($P688="High",$P688="Low"),"",IF($P688="Mix",SUMIF('High_Low Voltage Mix Summary'!$B$10:$B$17,$B711,'High_Low Voltage Mix Summary'!$H$10:$H$17),""))</f>
        <v/>
      </c>
      <c r="AB688" s="49">
        <f>SUMIF('Antelope Bailey Split BA'!$B$7:$B$29,B688,'Antelope Bailey Split BA'!$C$7:$C$29)</f>
        <v>0</v>
      </c>
      <c r="AC688" s="49" t="str">
        <f>IF(AND(AB688=1,'Plant Total by Account'!$H$1=2),"EKWRA","")</f>
        <v/>
      </c>
    </row>
    <row r="689" spans="1:29" x14ac:dyDescent="0.2">
      <c r="A689" s="39" t="s">
        <v>2501</v>
      </c>
      <c r="B689" s="45" t="s">
        <v>1197</v>
      </c>
      <c r="C689" s="40" t="s">
        <v>3329</v>
      </c>
      <c r="D689" s="53">
        <v>0</v>
      </c>
      <c r="E689" s="53">
        <v>5937.11</v>
      </c>
      <c r="F689" s="53">
        <v>761226.84</v>
      </c>
      <c r="G689" s="578">
        <f t="shared" si="91"/>
        <v>767163.95</v>
      </c>
      <c r="H689" s="41"/>
      <c r="I689" s="41"/>
      <c r="J689" s="41"/>
      <c r="K689" s="41">
        <f t="shared" si="93"/>
        <v>0</v>
      </c>
      <c r="L689" s="41">
        <f t="shared" si="94"/>
        <v>5937.11</v>
      </c>
      <c r="M689" s="41">
        <f t="shared" si="95"/>
        <v>761226.84</v>
      </c>
      <c r="N689" s="363">
        <f t="shared" si="92"/>
        <v>0</v>
      </c>
      <c r="O689" s="43" t="s">
        <v>3309</v>
      </c>
      <c r="P689" s="43"/>
      <c r="R689" s="41">
        <f t="shared" si="96"/>
        <v>0</v>
      </c>
      <c r="S689" s="41">
        <f t="shared" si="97"/>
        <v>0</v>
      </c>
      <c r="T689" s="41">
        <f t="shared" si="98"/>
        <v>0</v>
      </c>
      <c r="U689" s="41"/>
      <c r="V689" s="44" t="str">
        <f>IF($P689="High",$S689,IF($P689="Mix",SUMIF('High_Low Voltage Mix Summary'!$B$10:$B$17,$B712,'High_Low Voltage Mix Summary'!$D$10:$D$17),""))</f>
        <v/>
      </c>
      <c r="W689" s="44" t="str">
        <f>IF($P689="Low",$S689,IF($P689="Mix",SUMIF('High_Low Voltage Mix Summary'!$B$10:$B$17,$B712,'High_Low Voltage Mix Summary'!$E$10:$E$17),""))</f>
        <v/>
      </c>
      <c r="X689" s="44" t="str">
        <f>IF($P689="High",$T689,IF($P689="Mix",SUMIF('High_Low Voltage Mix Summary'!$B$10:$B$17,$B712,'High_Low Voltage Mix Summary'!$F$10:$F$17),""))</f>
        <v/>
      </c>
      <c r="Y689" s="44" t="str">
        <f>IF($P689="Low",$T689,IF($P689="Mix",SUMIF('High_Low Voltage Mix Summary'!$B$10:$B$17,$B712,'High_Low Voltage Mix Summary'!$G$10:$G$17),""))</f>
        <v/>
      </c>
      <c r="Z689" s="44" t="str">
        <f>IF(OR($P689="High",$P689="Low"),"",IF($P689="Mix",SUMIF('High_Low Voltage Mix Summary'!$B$10:$B$17,$B712,'High_Low Voltage Mix Summary'!$H$10:$H$17),""))</f>
        <v/>
      </c>
      <c r="AB689" s="49">
        <f>SUMIF('Antelope Bailey Split BA'!$B$7:$B$29,B689,'Antelope Bailey Split BA'!$C$7:$C$29)</f>
        <v>0</v>
      </c>
      <c r="AC689" s="49" t="str">
        <f>IF(AND(AB689=1,'Plant Total by Account'!$H$1=2),"EKWRA","")</f>
        <v/>
      </c>
    </row>
    <row r="690" spans="1:29" x14ac:dyDescent="0.2">
      <c r="A690" s="39" t="s">
        <v>2503</v>
      </c>
      <c r="B690" s="45" t="s">
        <v>800</v>
      </c>
      <c r="C690" s="40" t="s">
        <v>3329</v>
      </c>
      <c r="D690" s="53">
        <v>0</v>
      </c>
      <c r="E690" s="53">
        <v>0</v>
      </c>
      <c r="F690" s="53">
        <v>782187.23</v>
      </c>
      <c r="G690" s="578">
        <f t="shared" si="91"/>
        <v>782187.23</v>
      </c>
      <c r="H690" s="41"/>
      <c r="I690" s="41"/>
      <c r="J690" s="41"/>
      <c r="K690" s="41">
        <f t="shared" si="93"/>
        <v>0</v>
      </c>
      <c r="L690" s="41">
        <f t="shared" si="94"/>
        <v>0</v>
      </c>
      <c r="M690" s="41">
        <f t="shared" si="95"/>
        <v>782187.23</v>
      </c>
      <c r="N690" s="363">
        <f t="shared" si="92"/>
        <v>0</v>
      </c>
      <c r="O690" s="43" t="s">
        <v>3309</v>
      </c>
      <c r="P690" s="43"/>
      <c r="R690" s="41">
        <f t="shared" si="96"/>
        <v>0</v>
      </c>
      <c r="S690" s="41">
        <f t="shared" si="97"/>
        <v>0</v>
      </c>
      <c r="T690" s="41">
        <f t="shared" si="98"/>
        <v>0</v>
      </c>
      <c r="U690" s="41"/>
      <c r="V690" s="44" t="str">
        <f>IF($P690="High",$S690,IF($P690="Mix",SUMIF('High_Low Voltage Mix Summary'!$B$10:$B$17,$B713,'High_Low Voltage Mix Summary'!$D$10:$D$17),""))</f>
        <v/>
      </c>
      <c r="W690" s="44" t="str">
        <f>IF($P690="Low",$S690,IF($P690="Mix",SUMIF('High_Low Voltage Mix Summary'!$B$10:$B$17,$B713,'High_Low Voltage Mix Summary'!$E$10:$E$17),""))</f>
        <v/>
      </c>
      <c r="X690" s="44" t="str">
        <f>IF($P690="High",$T690,IF($P690="Mix",SUMIF('High_Low Voltage Mix Summary'!$B$10:$B$17,$B713,'High_Low Voltage Mix Summary'!$F$10:$F$17),""))</f>
        <v/>
      </c>
      <c r="Y690" s="44" t="str">
        <f>IF($P690="Low",$T690,IF($P690="Mix",SUMIF('High_Low Voltage Mix Summary'!$B$10:$B$17,$B713,'High_Low Voltage Mix Summary'!$G$10:$G$17),""))</f>
        <v/>
      </c>
      <c r="Z690" s="44" t="str">
        <f>IF(OR($P690="High",$P690="Low"),"",IF($P690="Mix",SUMIF('High_Low Voltage Mix Summary'!$B$10:$B$17,$B713,'High_Low Voltage Mix Summary'!$H$10:$H$17),""))</f>
        <v/>
      </c>
      <c r="AB690" s="49">
        <f>SUMIF('Antelope Bailey Split BA'!$B$7:$B$29,B690,'Antelope Bailey Split BA'!$C$7:$C$29)</f>
        <v>0</v>
      </c>
      <c r="AC690" s="49" t="str">
        <f>IF(AND(AB690=1,'Plant Total by Account'!$H$1=2),"EKWRA","")</f>
        <v/>
      </c>
    </row>
    <row r="691" spans="1:29" x14ac:dyDescent="0.2">
      <c r="A691" s="39" t="s">
        <v>2505</v>
      </c>
      <c r="B691" s="45" t="s">
        <v>1200</v>
      </c>
      <c r="C691" s="40" t="s">
        <v>3329</v>
      </c>
      <c r="D691" s="53">
        <v>0</v>
      </c>
      <c r="E691" s="53">
        <v>0</v>
      </c>
      <c r="F691" s="53">
        <v>19129.039999999997</v>
      </c>
      <c r="G691" s="578">
        <f t="shared" si="91"/>
        <v>19129.039999999997</v>
      </c>
      <c r="H691" s="41"/>
      <c r="I691" s="41"/>
      <c r="J691" s="41"/>
      <c r="K691" s="41">
        <f t="shared" si="93"/>
        <v>0</v>
      </c>
      <c r="L691" s="41">
        <f t="shared" si="94"/>
        <v>0</v>
      </c>
      <c r="M691" s="41">
        <f t="shared" si="95"/>
        <v>19129.039999999997</v>
      </c>
      <c r="N691" s="363">
        <f t="shared" si="92"/>
        <v>0</v>
      </c>
      <c r="O691" s="43" t="s">
        <v>3309</v>
      </c>
      <c r="P691" s="43"/>
      <c r="R691" s="41">
        <f t="shared" si="96"/>
        <v>0</v>
      </c>
      <c r="S691" s="41">
        <f t="shared" si="97"/>
        <v>0</v>
      </c>
      <c r="T691" s="41">
        <f t="shared" si="98"/>
        <v>0</v>
      </c>
      <c r="U691" s="41"/>
      <c r="V691" s="44" t="str">
        <f>IF($P691="High",$S691,IF($P691="Mix",SUMIF('High_Low Voltage Mix Summary'!$B$10:$B$17,$B714,'High_Low Voltage Mix Summary'!$D$10:$D$17),""))</f>
        <v/>
      </c>
      <c r="W691" s="44" t="str">
        <f>IF($P691="Low",$S691,IF($P691="Mix",SUMIF('High_Low Voltage Mix Summary'!$B$10:$B$17,$B714,'High_Low Voltage Mix Summary'!$E$10:$E$17),""))</f>
        <v/>
      </c>
      <c r="X691" s="44" t="str">
        <f>IF($P691="High",$T691,IF($P691="Mix",SUMIF('High_Low Voltage Mix Summary'!$B$10:$B$17,$B714,'High_Low Voltage Mix Summary'!$F$10:$F$17),""))</f>
        <v/>
      </c>
      <c r="Y691" s="44" t="str">
        <f>IF($P691="Low",$T691,IF($P691="Mix",SUMIF('High_Low Voltage Mix Summary'!$B$10:$B$17,$B714,'High_Low Voltage Mix Summary'!$G$10:$G$17),""))</f>
        <v/>
      </c>
      <c r="Z691" s="44" t="str">
        <f>IF(OR($P691="High",$P691="Low"),"",IF($P691="Mix",SUMIF('High_Low Voltage Mix Summary'!$B$10:$B$17,$B714,'High_Low Voltage Mix Summary'!$H$10:$H$17),""))</f>
        <v/>
      </c>
      <c r="AB691" s="49">
        <f>SUMIF('Antelope Bailey Split BA'!$B$7:$B$29,B691,'Antelope Bailey Split BA'!$C$7:$C$29)</f>
        <v>0</v>
      </c>
      <c r="AC691" s="49" t="str">
        <f>IF(AND(AB691=1,'Plant Total by Account'!$H$1=2),"EKWRA","")</f>
        <v/>
      </c>
    </row>
    <row r="692" spans="1:29" x14ac:dyDescent="0.2">
      <c r="A692" s="39" t="s">
        <v>3170</v>
      </c>
      <c r="B692" s="45" t="s">
        <v>801</v>
      </c>
      <c r="C692" s="40" t="s">
        <v>3329</v>
      </c>
      <c r="D692" s="53">
        <v>0</v>
      </c>
      <c r="E692" s="53">
        <v>0</v>
      </c>
      <c r="F692" s="53">
        <v>3878.5</v>
      </c>
      <c r="G692" s="578">
        <f t="shared" si="91"/>
        <v>3878.5</v>
      </c>
      <c r="H692" s="41"/>
      <c r="I692" s="41"/>
      <c r="J692" s="41"/>
      <c r="K692" s="41">
        <f t="shared" si="93"/>
        <v>0</v>
      </c>
      <c r="L692" s="41">
        <f t="shared" si="94"/>
        <v>0</v>
      </c>
      <c r="M692" s="41">
        <f t="shared" si="95"/>
        <v>3878.5</v>
      </c>
      <c r="N692" s="363">
        <f t="shared" si="92"/>
        <v>0</v>
      </c>
      <c r="O692" s="43" t="s">
        <v>3309</v>
      </c>
      <c r="P692" s="43"/>
      <c r="R692" s="41">
        <f t="shared" si="96"/>
        <v>0</v>
      </c>
      <c r="S692" s="41">
        <f t="shared" si="97"/>
        <v>0</v>
      </c>
      <c r="T692" s="41">
        <f t="shared" si="98"/>
        <v>0</v>
      </c>
      <c r="U692" s="41"/>
      <c r="V692" s="44" t="str">
        <f>IF($P692="High",$S692,IF($P692="Mix",SUMIF('High_Low Voltage Mix Summary'!$B$10:$B$17,$B1476,'High_Low Voltage Mix Summary'!$D$10:$D$17),""))</f>
        <v/>
      </c>
      <c r="W692" s="44" t="str">
        <f>IF($P692="Low",$S692,IF($P692="Mix",SUMIF('High_Low Voltage Mix Summary'!$B$10:$B$17,$B1476,'High_Low Voltage Mix Summary'!$E$10:$E$17),""))</f>
        <v/>
      </c>
      <c r="X692" s="44" t="str">
        <f>IF($P692="High",$T692,IF($P692="Mix",SUMIF('High_Low Voltage Mix Summary'!$B$10:$B$17,$B1476,'High_Low Voltage Mix Summary'!$F$10:$F$17),""))</f>
        <v/>
      </c>
      <c r="Y692" s="44" t="str">
        <f>IF($P692="Low",$T692,IF($P692="Mix",SUMIF('High_Low Voltage Mix Summary'!$B$10:$B$17,$B1476,'High_Low Voltage Mix Summary'!$G$10:$G$17),""))</f>
        <v/>
      </c>
      <c r="Z692" s="44" t="str">
        <f>IF(OR($P692="High",$P692="Low"),"",IF($P692="Mix",SUMIF('High_Low Voltage Mix Summary'!$B$10:$B$17,$B1476,'High_Low Voltage Mix Summary'!$H$10:$H$17),""))</f>
        <v/>
      </c>
      <c r="AB692" s="49">
        <f>SUMIF('Antelope Bailey Split BA'!$B$7:$B$29,B692,'Antelope Bailey Split BA'!$C$7:$C$29)</f>
        <v>0</v>
      </c>
      <c r="AC692" s="49" t="str">
        <f>IF(AND(AB692=1,'Plant Total by Account'!$H$1=2),"EKWRA","")</f>
        <v/>
      </c>
    </row>
    <row r="693" spans="1:29" x14ac:dyDescent="0.2">
      <c r="A693" s="39" t="s">
        <v>2519</v>
      </c>
      <c r="B693" s="45" t="s">
        <v>802</v>
      </c>
      <c r="C693" s="40" t="s">
        <v>3329</v>
      </c>
      <c r="D693" s="53">
        <v>88408.77</v>
      </c>
      <c r="E693" s="53">
        <v>0</v>
      </c>
      <c r="F693" s="53">
        <v>0</v>
      </c>
      <c r="G693" s="578">
        <f t="shared" si="91"/>
        <v>88408.77</v>
      </c>
      <c r="H693" s="41"/>
      <c r="I693" s="41"/>
      <c r="J693" s="41"/>
      <c r="K693" s="41">
        <f t="shared" si="93"/>
        <v>88408.77</v>
      </c>
      <c r="L693" s="41">
        <f t="shared" si="94"/>
        <v>0</v>
      </c>
      <c r="M693" s="41">
        <f t="shared" si="95"/>
        <v>0</v>
      </c>
      <c r="N693" s="363">
        <f t="shared" si="92"/>
        <v>0</v>
      </c>
      <c r="O693" s="43" t="s">
        <v>3309</v>
      </c>
      <c r="P693" s="43"/>
      <c r="R693" s="41">
        <f t="shared" si="96"/>
        <v>0</v>
      </c>
      <c r="S693" s="41">
        <f t="shared" si="97"/>
        <v>0</v>
      </c>
      <c r="T693" s="41">
        <f t="shared" si="98"/>
        <v>0</v>
      </c>
      <c r="U693" s="41"/>
      <c r="V693" s="44" t="str">
        <f>IF($P693="High",$S693,IF($P693="Mix",SUMIF('High_Low Voltage Mix Summary'!$B$10:$B$17,$B716,'High_Low Voltage Mix Summary'!$D$10:$D$17),""))</f>
        <v/>
      </c>
      <c r="W693" s="44" t="str">
        <f>IF($P693="Low",$S693,IF($P693="Mix",SUMIF('High_Low Voltage Mix Summary'!$B$10:$B$17,$B716,'High_Low Voltage Mix Summary'!$E$10:$E$17),""))</f>
        <v/>
      </c>
      <c r="X693" s="44" t="str">
        <f>IF($P693="High",$T693,IF($P693="Mix",SUMIF('High_Low Voltage Mix Summary'!$B$10:$B$17,$B716,'High_Low Voltage Mix Summary'!$F$10:$F$17),""))</f>
        <v/>
      </c>
      <c r="Y693" s="44" t="str">
        <f>IF($P693="Low",$T693,IF($P693="Mix",SUMIF('High_Low Voltage Mix Summary'!$B$10:$B$17,$B716,'High_Low Voltage Mix Summary'!$G$10:$G$17),""))</f>
        <v/>
      </c>
      <c r="Z693" s="44" t="str">
        <f>IF(OR($P693="High",$P693="Low"),"",IF($P693="Mix",SUMIF('High_Low Voltage Mix Summary'!$B$10:$B$17,$B716,'High_Low Voltage Mix Summary'!$H$10:$H$17),""))</f>
        <v/>
      </c>
      <c r="AB693" s="49">
        <f>SUMIF('Antelope Bailey Split BA'!$B$7:$B$29,B693,'Antelope Bailey Split BA'!$C$7:$C$29)</f>
        <v>0</v>
      </c>
      <c r="AC693" s="49" t="str">
        <f>IF(AND(AB693=1,'Plant Total by Account'!$H$1=2),"EKWRA","")</f>
        <v/>
      </c>
    </row>
    <row r="694" spans="1:29" x14ac:dyDescent="0.2">
      <c r="A694" s="39" t="s">
        <v>2520</v>
      </c>
      <c r="B694" s="45" t="s">
        <v>803</v>
      </c>
      <c r="C694" s="40" t="s">
        <v>3329</v>
      </c>
      <c r="D694" s="53">
        <v>0</v>
      </c>
      <c r="E694" s="53">
        <v>0</v>
      </c>
      <c r="F694" s="53">
        <v>32899.64</v>
      </c>
      <c r="G694" s="578">
        <f t="shared" si="91"/>
        <v>32899.64</v>
      </c>
      <c r="H694" s="41"/>
      <c r="I694" s="41"/>
      <c r="J694" s="41"/>
      <c r="K694" s="41">
        <f t="shared" si="93"/>
        <v>0</v>
      </c>
      <c r="L694" s="41">
        <f t="shared" si="94"/>
        <v>0</v>
      </c>
      <c r="M694" s="41">
        <f t="shared" si="95"/>
        <v>32899.64</v>
      </c>
      <c r="N694" s="363">
        <f t="shared" si="92"/>
        <v>0</v>
      </c>
      <c r="O694" s="43" t="s">
        <v>3309</v>
      </c>
      <c r="P694" s="43"/>
      <c r="R694" s="41">
        <f t="shared" si="96"/>
        <v>0</v>
      </c>
      <c r="S694" s="41">
        <f t="shared" si="97"/>
        <v>0</v>
      </c>
      <c r="T694" s="41">
        <f t="shared" si="98"/>
        <v>0</v>
      </c>
      <c r="U694" s="41"/>
      <c r="V694" s="44" t="str">
        <f>IF($P694="High",$S694,IF($P694="Mix",SUMIF('High_Low Voltage Mix Summary'!$B$10:$B$17,$B717,'High_Low Voltage Mix Summary'!$D$10:$D$17),""))</f>
        <v/>
      </c>
      <c r="W694" s="44" t="str">
        <f>IF($P694="Low",$S694,IF($P694="Mix",SUMIF('High_Low Voltage Mix Summary'!$B$10:$B$17,$B717,'High_Low Voltage Mix Summary'!$E$10:$E$17),""))</f>
        <v/>
      </c>
      <c r="X694" s="44" t="str">
        <f>IF($P694="High",$T694,IF($P694="Mix",SUMIF('High_Low Voltage Mix Summary'!$B$10:$B$17,$B717,'High_Low Voltage Mix Summary'!$F$10:$F$17),""))</f>
        <v/>
      </c>
      <c r="Y694" s="44" t="str">
        <f>IF($P694="Low",$T694,IF($P694="Mix",SUMIF('High_Low Voltage Mix Summary'!$B$10:$B$17,$B717,'High_Low Voltage Mix Summary'!$G$10:$G$17),""))</f>
        <v/>
      </c>
      <c r="Z694" s="44" t="str">
        <f>IF(OR($P694="High",$P694="Low"),"",IF($P694="Mix",SUMIF('High_Low Voltage Mix Summary'!$B$10:$B$17,$B717,'High_Low Voltage Mix Summary'!$H$10:$H$17),""))</f>
        <v/>
      </c>
      <c r="AB694" s="49">
        <f>SUMIF('Antelope Bailey Split BA'!$B$7:$B$29,B694,'Antelope Bailey Split BA'!$C$7:$C$29)</f>
        <v>0</v>
      </c>
      <c r="AC694" s="49" t="str">
        <f>IF(AND(AB694=1,'Plant Total by Account'!$H$1=2),"EKWRA","")</f>
        <v/>
      </c>
    </row>
    <row r="695" spans="1:29" x14ac:dyDescent="0.2">
      <c r="A695" s="39" t="s">
        <v>3171</v>
      </c>
      <c r="B695" s="45" t="s">
        <v>804</v>
      </c>
      <c r="C695" s="40" t="s">
        <v>3329</v>
      </c>
      <c r="D695" s="53">
        <v>0</v>
      </c>
      <c r="E695" s="53">
        <v>0</v>
      </c>
      <c r="F695" s="53">
        <v>636439.19000000006</v>
      </c>
      <c r="G695" s="578">
        <f t="shared" si="91"/>
        <v>636439.19000000006</v>
      </c>
      <c r="H695" s="173"/>
      <c r="I695" s="173"/>
      <c r="J695" s="173"/>
      <c r="K695" s="173">
        <f t="shared" si="93"/>
        <v>0</v>
      </c>
      <c r="L695" s="173">
        <f t="shared" si="94"/>
        <v>0</v>
      </c>
      <c r="M695" s="173">
        <f t="shared" si="95"/>
        <v>636439.19000000006</v>
      </c>
      <c r="N695" s="363">
        <f t="shared" si="92"/>
        <v>0</v>
      </c>
      <c r="O695" s="43" t="s">
        <v>3309</v>
      </c>
      <c r="P695" s="43"/>
      <c r="R695" s="41">
        <f t="shared" si="96"/>
        <v>0</v>
      </c>
      <c r="S695" s="41">
        <f t="shared" si="97"/>
        <v>0</v>
      </c>
      <c r="T695" s="41">
        <f t="shared" si="98"/>
        <v>0</v>
      </c>
      <c r="U695" s="41"/>
      <c r="V695" s="44" t="str">
        <f>IF($P695="High",$S695,IF($P695="Mix",SUMIF('High_Low Voltage Mix Summary'!$B$10:$B$17,#REF!,'High_Low Voltage Mix Summary'!$D$10:$D$17),""))</f>
        <v/>
      </c>
      <c r="W695" s="44" t="str">
        <f>IF($P695="Low",$S695,IF($P695="Mix",SUMIF('High_Low Voltage Mix Summary'!$B$10:$B$17,#REF!,'High_Low Voltage Mix Summary'!$E$10:$E$17),""))</f>
        <v/>
      </c>
      <c r="X695" s="44" t="str">
        <f>IF($P695="High",$T695,IF($P695="Mix",SUMIF('High_Low Voltage Mix Summary'!$B$10:$B$17,#REF!,'High_Low Voltage Mix Summary'!$F$10:$F$17),""))</f>
        <v/>
      </c>
      <c r="Y695" s="44" t="str">
        <f>IF($P695="Low",$T695,IF($P695="Mix",SUMIF('High_Low Voltage Mix Summary'!$B$10:$B$17,#REF!,'High_Low Voltage Mix Summary'!$G$10:$G$17),""))</f>
        <v/>
      </c>
      <c r="Z695" s="44" t="str">
        <f>IF(OR($P695="High",$P695="Low"),"",IF($P695="Mix",SUMIF('High_Low Voltage Mix Summary'!$B$10:$B$17,#REF!,'High_Low Voltage Mix Summary'!$H$10:$H$17),""))</f>
        <v/>
      </c>
      <c r="AB695" s="49">
        <f>SUMIF('Antelope Bailey Split BA'!$B$7:$B$29,B695,'Antelope Bailey Split BA'!$C$7:$C$29)</f>
        <v>0</v>
      </c>
      <c r="AC695" s="49" t="str">
        <f>IF(AND(AB695=1,'Plant Total by Account'!$H$1=2),"EKWRA","")</f>
        <v/>
      </c>
    </row>
    <row r="696" spans="1:29" x14ac:dyDescent="0.2">
      <c r="A696" s="39" t="s">
        <v>3172</v>
      </c>
      <c r="B696" s="45" t="s">
        <v>805</v>
      </c>
      <c r="C696" s="40" t="s">
        <v>3333</v>
      </c>
      <c r="D696" s="53">
        <v>0</v>
      </c>
      <c r="E696" s="53">
        <v>0</v>
      </c>
      <c r="F696" s="53">
        <v>7661.7</v>
      </c>
      <c r="G696" s="578">
        <f t="shared" si="91"/>
        <v>7661.7</v>
      </c>
      <c r="H696" s="41"/>
      <c r="I696" s="41"/>
      <c r="J696" s="41"/>
      <c r="K696" s="41">
        <f t="shared" si="93"/>
        <v>0</v>
      </c>
      <c r="L696" s="41">
        <f t="shared" si="94"/>
        <v>0</v>
      </c>
      <c r="M696" s="41">
        <f t="shared" si="95"/>
        <v>7661.7</v>
      </c>
      <c r="N696" s="363">
        <f t="shared" si="92"/>
        <v>0</v>
      </c>
      <c r="O696" s="43" t="s">
        <v>3309</v>
      </c>
      <c r="P696" s="43"/>
      <c r="R696" s="41">
        <f t="shared" si="96"/>
        <v>0</v>
      </c>
      <c r="S696" s="41">
        <f t="shared" si="97"/>
        <v>0</v>
      </c>
      <c r="T696" s="41">
        <f t="shared" si="98"/>
        <v>0</v>
      </c>
      <c r="U696" s="41"/>
      <c r="V696" s="44" t="str">
        <f>IF($P696="High",$S696,IF($P696="Mix",SUMIF('High_Low Voltage Mix Summary'!$B$10:$B$17,$B719,'High_Low Voltage Mix Summary'!$D$10:$D$17),""))</f>
        <v/>
      </c>
      <c r="W696" s="44" t="str">
        <f>IF($P696="Low",$S696,IF($P696="Mix",SUMIF('High_Low Voltage Mix Summary'!$B$10:$B$17,$B719,'High_Low Voltage Mix Summary'!$E$10:$E$17),""))</f>
        <v/>
      </c>
      <c r="X696" s="44" t="str">
        <f>IF($P696="High",$T696,IF($P696="Mix",SUMIF('High_Low Voltage Mix Summary'!$B$10:$B$17,$B719,'High_Low Voltage Mix Summary'!$F$10:$F$17),""))</f>
        <v/>
      </c>
      <c r="Y696" s="44" t="str">
        <f>IF($P696="Low",$T696,IF($P696="Mix",SUMIF('High_Low Voltage Mix Summary'!$B$10:$B$17,$B719,'High_Low Voltage Mix Summary'!$G$10:$G$17),""))</f>
        <v/>
      </c>
      <c r="Z696" s="44" t="str">
        <f>IF(OR($P696="High",$P696="Low"),"",IF($P696="Mix",SUMIF('High_Low Voltage Mix Summary'!$B$10:$B$17,$B719,'High_Low Voltage Mix Summary'!$H$10:$H$17),""))</f>
        <v/>
      </c>
      <c r="AB696" s="49">
        <f>SUMIF('Antelope Bailey Split BA'!$B$7:$B$29,B696,'Antelope Bailey Split BA'!$C$7:$C$29)</f>
        <v>0</v>
      </c>
      <c r="AC696" s="49" t="str">
        <f>IF(AND(AB696=1,'Plant Total by Account'!$H$1=2),"EKWRA","")</f>
        <v/>
      </c>
    </row>
    <row r="697" spans="1:29" x14ac:dyDescent="0.2">
      <c r="A697" s="39" t="s">
        <v>2523</v>
      </c>
      <c r="B697" s="45" t="s">
        <v>806</v>
      </c>
      <c r="C697" s="40" t="s">
        <v>3329</v>
      </c>
      <c r="D697" s="53">
        <v>4972.83</v>
      </c>
      <c r="E697" s="53">
        <v>0</v>
      </c>
      <c r="F697" s="53">
        <v>0</v>
      </c>
      <c r="G697" s="578">
        <f t="shared" si="91"/>
        <v>4972.83</v>
      </c>
      <c r="H697" s="41"/>
      <c r="I697" s="41"/>
      <c r="J697" s="41"/>
      <c r="K697" s="41">
        <f t="shared" si="93"/>
        <v>4972.83</v>
      </c>
      <c r="L697" s="41">
        <f t="shared" si="94"/>
        <v>0</v>
      </c>
      <c r="M697" s="41">
        <f t="shared" si="95"/>
        <v>0</v>
      </c>
      <c r="N697" s="363">
        <f t="shared" si="92"/>
        <v>0</v>
      </c>
      <c r="O697" s="43" t="s">
        <v>3309</v>
      </c>
      <c r="P697" s="43"/>
      <c r="R697" s="41">
        <f t="shared" si="96"/>
        <v>0</v>
      </c>
      <c r="S697" s="41">
        <f t="shared" si="97"/>
        <v>0</v>
      </c>
      <c r="T697" s="41">
        <f t="shared" si="98"/>
        <v>0</v>
      </c>
      <c r="U697" s="41"/>
      <c r="V697" s="44" t="str">
        <f>IF($P697="High",$S697,IF($P697="Mix",SUMIF('High_Low Voltage Mix Summary'!$B$10:$B$17,$B720,'High_Low Voltage Mix Summary'!$D$10:$D$17),""))</f>
        <v/>
      </c>
      <c r="W697" s="44" t="str">
        <f>IF($P697="Low",$S697,IF($P697="Mix",SUMIF('High_Low Voltage Mix Summary'!$B$10:$B$17,$B720,'High_Low Voltage Mix Summary'!$E$10:$E$17),""))</f>
        <v/>
      </c>
      <c r="X697" s="44" t="str">
        <f>IF($P697="High",$T697,IF($P697="Mix",SUMIF('High_Low Voltage Mix Summary'!$B$10:$B$17,$B720,'High_Low Voltage Mix Summary'!$F$10:$F$17),""))</f>
        <v/>
      </c>
      <c r="Y697" s="44" t="str">
        <f>IF($P697="Low",$T697,IF($P697="Mix",SUMIF('High_Low Voltage Mix Summary'!$B$10:$B$17,$B720,'High_Low Voltage Mix Summary'!$G$10:$G$17),""))</f>
        <v/>
      </c>
      <c r="Z697" s="44" t="str">
        <f>IF(OR($P697="High",$P697="Low"),"",IF($P697="Mix",SUMIF('High_Low Voltage Mix Summary'!$B$10:$B$17,$B720,'High_Low Voltage Mix Summary'!$H$10:$H$17),""))</f>
        <v/>
      </c>
      <c r="AB697" s="49">
        <f>SUMIF('Antelope Bailey Split BA'!$B$7:$B$29,B697,'Antelope Bailey Split BA'!$C$7:$C$29)</f>
        <v>0</v>
      </c>
      <c r="AC697" s="49" t="str">
        <f>IF(AND(AB697=1,'Plant Total by Account'!$H$1=2),"EKWRA","")</f>
        <v/>
      </c>
    </row>
    <row r="698" spans="1:29" x14ac:dyDescent="0.2">
      <c r="A698" s="39" t="s">
        <v>2527</v>
      </c>
      <c r="B698" s="45" t="s">
        <v>1219</v>
      </c>
      <c r="C698" s="40" t="s">
        <v>3329</v>
      </c>
      <c r="D698" s="53">
        <v>0</v>
      </c>
      <c r="E698" s="53">
        <v>0</v>
      </c>
      <c r="F698" s="53">
        <v>9383.36</v>
      </c>
      <c r="G698" s="578">
        <f t="shared" si="91"/>
        <v>9383.36</v>
      </c>
      <c r="H698" s="41"/>
      <c r="I698" s="41"/>
      <c r="J698" s="41"/>
      <c r="K698" s="41">
        <f t="shared" si="93"/>
        <v>0</v>
      </c>
      <c r="L698" s="41">
        <f t="shared" si="94"/>
        <v>0</v>
      </c>
      <c r="M698" s="41">
        <f t="shared" si="95"/>
        <v>9383.36</v>
      </c>
      <c r="N698" s="363">
        <f t="shared" si="92"/>
        <v>0</v>
      </c>
      <c r="O698" s="43" t="s">
        <v>3309</v>
      </c>
      <c r="P698" s="43"/>
      <c r="R698" s="41">
        <f t="shared" si="96"/>
        <v>0</v>
      </c>
      <c r="S698" s="41">
        <f t="shared" si="97"/>
        <v>0</v>
      </c>
      <c r="T698" s="41">
        <f t="shared" si="98"/>
        <v>0</v>
      </c>
      <c r="U698" s="41"/>
      <c r="V698" s="44" t="str">
        <f>IF($P698="High",$S698,IF($P698="Mix",SUMIF('High_Low Voltage Mix Summary'!$B$10:$B$17,$B721,'High_Low Voltage Mix Summary'!$D$10:$D$17),""))</f>
        <v/>
      </c>
      <c r="W698" s="44" t="str">
        <f>IF($P698="Low",$S698,IF($P698="Mix",SUMIF('High_Low Voltage Mix Summary'!$B$10:$B$17,$B721,'High_Low Voltage Mix Summary'!$E$10:$E$17),""))</f>
        <v/>
      </c>
      <c r="X698" s="44" t="str">
        <f>IF($P698="High",$T698,IF($P698="Mix",SUMIF('High_Low Voltage Mix Summary'!$B$10:$B$17,$B721,'High_Low Voltage Mix Summary'!$F$10:$F$17),""))</f>
        <v/>
      </c>
      <c r="Y698" s="44" t="str">
        <f>IF($P698="Low",$T698,IF($P698="Mix",SUMIF('High_Low Voltage Mix Summary'!$B$10:$B$17,$B721,'High_Low Voltage Mix Summary'!$G$10:$G$17),""))</f>
        <v/>
      </c>
      <c r="Z698" s="44" t="str">
        <f>IF(OR($P698="High",$P698="Low"),"",IF($P698="Mix",SUMIF('High_Low Voltage Mix Summary'!$B$10:$B$17,$B721,'High_Low Voltage Mix Summary'!$H$10:$H$17),""))</f>
        <v/>
      </c>
      <c r="AB698" s="49">
        <f>SUMIF('Antelope Bailey Split BA'!$B$7:$B$29,B698,'Antelope Bailey Split BA'!$C$7:$C$29)</f>
        <v>0</v>
      </c>
      <c r="AC698" s="49" t="str">
        <f>IF(AND(AB698=1,'Plant Total by Account'!$H$1=2),"EKWRA","")</f>
        <v/>
      </c>
    </row>
    <row r="699" spans="1:29" x14ac:dyDescent="0.2">
      <c r="A699" s="39" t="s">
        <v>2528</v>
      </c>
      <c r="B699" s="45" t="s">
        <v>1220</v>
      </c>
      <c r="C699" s="40" t="s">
        <v>3329</v>
      </c>
      <c r="D699" s="53">
        <v>0</v>
      </c>
      <c r="E699" s="53">
        <v>0</v>
      </c>
      <c r="F699" s="53">
        <v>7257.54</v>
      </c>
      <c r="G699" s="578">
        <f t="shared" si="91"/>
        <v>7257.54</v>
      </c>
      <c r="H699" s="41"/>
      <c r="I699" s="41"/>
      <c r="J699" s="41"/>
      <c r="K699" s="41">
        <f t="shared" si="93"/>
        <v>0</v>
      </c>
      <c r="L699" s="41">
        <f t="shared" si="94"/>
        <v>0</v>
      </c>
      <c r="M699" s="41">
        <f t="shared" si="95"/>
        <v>7257.54</v>
      </c>
      <c r="N699" s="363">
        <f t="shared" si="92"/>
        <v>0</v>
      </c>
      <c r="O699" s="43" t="s">
        <v>3309</v>
      </c>
      <c r="P699" s="43"/>
      <c r="R699" s="41">
        <f t="shared" si="96"/>
        <v>0</v>
      </c>
      <c r="S699" s="41">
        <f t="shared" si="97"/>
        <v>0</v>
      </c>
      <c r="T699" s="41">
        <f t="shared" si="98"/>
        <v>0</v>
      </c>
      <c r="U699" s="41"/>
      <c r="V699" s="44" t="str">
        <f>IF($P699="High",$S699,IF($P699="Mix",SUMIF('High_Low Voltage Mix Summary'!$B$10:$B$17,$B722,'High_Low Voltage Mix Summary'!$D$10:$D$17),""))</f>
        <v/>
      </c>
      <c r="W699" s="44" t="str">
        <f>IF($P699="Low",$S699,IF($P699="Mix",SUMIF('High_Low Voltage Mix Summary'!$B$10:$B$17,$B722,'High_Low Voltage Mix Summary'!$E$10:$E$17),""))</f>
        <v/>
      </c>
      <c r="X699" s="44" t="str">
        <f>IF($P699="High",$T699,IF($P699="Mix",SUMIF('High_Low Voltage Mix Summary'!$B$10:$B$17,$B722,'High_Low Voltage Mix Summary'!$F$10:$F$17),""))</f>
        <v/>
      </c>
      <c r="Y699" s="44" t="str">
        <f>IF($P699="Low",$T699,IF($P699="Mix",SUMIF('High_Low Voltage Mix Summary'!$B$10:$B$17,$B722,'High_Low Voltage Mix Summary'!$G$10:$G$17),""))</f>
        <v/>
      </c>
      <c r="Z699" s="44" t="str">
        <f>IF(OR($P699="High",$P699="Low"),"",IF($P699="Mix",SUMIF('High_Low Voltage Mix Summary'!$B$10:$B$17,$B722,'High_Low Voltage Mix Summary'!$H$10:$H$17),""))</f>
        <v/>
      </c>
      <c r="AB699" s="49">
        <f>SUMIF('Antelope Bailey Split BA'!$B$7:$B$29,B699,'Antelope Bailey Split BA'!$C$7:$C$29)</f>
        <v>0</v>
      </c>
      <c r="AC699" s="49" t="str">
        <f>IF(AND(AB699=1,'Plant Total by Account'!$H$1=2),"EKWRA","")</f>
        <v/>
      </c>
    </row>
    <row r="700" spans="1:29" x14ac:dyDescent="0.2">
      <c r="A700" s="39" t="s">
        <v>2536</v>
      </c>
      <c r="B700" s="45" t="s">
        <v>807</v>
      </c>
      <c r="C700" s="40" t="s">
        <v>3329</v>
      </c>
      <c r="D700" s="53">
        <v>0</v>
      </c>
      <c r="E700" s="53">
        <v>0</v>
      </c>
      <c r="F700" s="53">
        <v>6720.18</v>
      </c>
      <c r="G700" s="578">
        <f t="shared" si="91"/>
        <v>6720.18</v>
      </c>
      <c r="H700" s="41"/>
      <c r="I700" s="41"/>
      <c r="J700" s="41"/>
      <c r="K700" s="41">
        <f t="shared" si="93"/>
        <v>0</v>
      </c>
      <c r="L700" s="41">
        <f t="shared" si="94"/>
        <v>0</v>
      </c>
      <c r="M700" s="41">
        <f t="shared" si="95"/>
        <v>6720.18</v>
      </c>
      <c r="N700" s="363">
        <f t="shared" si="92"/>
        <v>0</v>
      </c>
      <c r="O700" s="43" t="s">
        <v>3309</v>
      </c>
      <c r="P700" s="43"/>
      <c r="R700" s="41">
        <f t="shared" si="96"/>
        <v>0</v>
      </c>
      <c r="S700" s="41">
        <f t="shared" si="97"/>
        <v>0</v>
      </c>
      <c r="T700" s="41">
        <f t="shared" si="98"/>
        <v>0</v>
      </c>
      <c r="U700" s="41"/>
      <c r="V700" s="44" t="str">
        <f>IF($P700="High",$S700,IF($P700="Mix",SUMIF('High_Low Voltage Mix Summary'!$B$10:$B$17,$B723,'High_Low Voltage Mix Summary'!$D$10:$D$17),""))</f>
        <v/>
      </c>
      <c r="W700" s="44" t="str">
        <f>IF($P700="Low",$S700,IF($P700="Mix",SUMIF('High_Low Voltage Mix Summary'!$B$10:$B$17,$B723,'High_Low Voltage Mix Summary'!$E$10:$E$17),""))</f>
        <v/>
      </c>
      <c r="X700" s="44" t="str">
        <f>IF($P700="High",$T700,IF($P700="Mix",SUMIF('High_Low Voltage Mix Summary'!$B$10:$B$17,$B723,'High_Low Voltage Mix Summary'!$F$10:$F$17),""))</f>
        <v/>
      </c>
      <c r="Y700" s="44" t="str">
        <f>IF($P700="Low",$T700,IF($P700="Mix",SUMIF('High_Low Voltage Mix Summary'!$B$10:$B$17,$B723,'High_Low Voltage Mix Summary'!$G$10:$G$17),""))</f>
        <v/>
      </c>
      <c r="Z700" s="44" t="str">
        <f>IF(OR($P700="High",$P700="Low"),"",IF($P700="Mix",SUMIF('High_Low Voltage Mix Summary'!$B$10:$B$17,$B723,'High_Low Voltage Mix Summary'!$H$10:$H$17),""))</f>
        <v/>
      </c>
      <c r="AB700" s="49">
        <f>SUMIF('Antelope Bailey Split BA'!$B$7:$B$29,B700,'Antelope Bailey Split BA'!$C$7:$C$29)</f>
        <v>0</v>
      </c>
      <c r="AC700" s="49" t="str">
        <f>IF(AND(AB700=1,'Plant Total by Account'!$H$1=2),"EKWRA","")</f>
        <v/>
      </c>
    </row>
    <row r="701" spans="1:29" x14ac:dyDescent="0.2">
      <c r="A701" s="39" t="s">
        <v>2538</v>
      </c>
      <c r="B701" s="45" t="s">
        <v>1229</v>
      </c>
      <c r="C701" s="40" t="s">
        <v>3329</v>
      </c>
      <c r="D701" s="53">
        <v>0</v>
      </c>
      <c r="E701" s="53">
        <v>0</v>
      </c>
      <c r="F701" s="53">
        <v>1029703.9100000001</v>
      </c>
      <c r="G701" s="578">
        <f t="shared" si="91"/>
        <v>1029703.9100000001</v>
      </c>
      <c r="H701" s="41"/>
      <c r="I701" s="41"/>
      <c r="J701" s="41"/>
      <c r="K701" s="41">
        <f t="shared" si="93"/>
        <v>0</v>
      </c>
      <c r="L701" s="41">
        <f t="shared" si="94"/>
        <v>0</v>
      </c>
      <c r="M701" s="41">
        <f t="shared" si="95"/>
        <v>1029703.9100000001</v>
      </c>
      <c r="N701" s="363">
        <f t="shared" si="92"/>
        <v>0</v>
      </c>
      <c r="O701" s="43" t="s">
        <v>3309</v>
      </c>
      <c r="P701" s="43"/>
      <c r="R701" s="41">
        <f t="shared" si="96"/>
        <v>0</v>
      </c>
      <c r="S701" s="41">
        <f t="shared" si="97"/>
        <v>0</v>
      </c>
      <c r="T701" s="41">
        <f t="shared" si="98"/>
        <v>0</v>
      </c>
      <c r="U701" s="41"/>
      <c r="V701" s="44" t="str">
        <f>IF($P701="High",$S701,IF($P701="Mix",SUMIF('High_Low Voltage Mix Summary'!$B$10:$B$17,$B724,'High_Low Voltage Mix Summary'!$D$10:$D$17),""))</f>
        <v/>
      </c>
      <c r="W701" s="44" t="str">
        <f>IF($P701="Low",$S701,IF($P701="Mix",SUMIF('High_Low Voltage Mix Summary'!$B$10:$B$17,$B724,'High_Low Voltage Mix Summary'!$E$10:$E$17),""))</f>
        <v/>
      </c>
      <c r="X701" s="44" t="str">
        <f>IF($P701="High",$T701,IF($P701="Mix",SUMIF('High_Low Voltage Mix Summary'!$B$10:$B$17,$B724,'High_Low Voltage Mix Summary'!$F$10:$F$17),""))</f>
        <v/>
      </c>
      <c r="Y701" s="44" t="str">
        <f>IF($P701="Low",$T701,IF($P701="Mix",SUMIF('High_Low Voltage Mix Summary'!$B$10:$B$17,$B724,'High_Low Voltage Mix Summary'!$G$10:$G$17),""))</f>
        <v/>
      </c>
      <c r="Z701" s="44" t="str">
        <f>IF(OR($P701="High",$P701="Low"),"",IF($P701="Mix",SUMIF('High_Low Voltage Mix Summary'!$B$10:$B$17,$B724,'High_Low Voltage Mix Summary'!$H$10:$H$17),""))</f>
        <v/>
      </c>
      <c r="AB701" s="49">
        <f>SUMIF('Antelope Bailey Split BA'!$B$7:$B$29,B701,'Antelope Bailey Split BA'!$C$7:$C$29)</f>
        <v>0</v>
      </c>
      <c r="AC701" s="49" t="str">
        <f>IF(AND(AB701=1,'Plant Total by Account'!$H$1=2),"EKWRA","")</f>
        <v/>
      </c>
    </row>
    <row r="702" spans="1:29" x14ac:dyDescent="0.2">
      <c r="A702" s="39" t="s">
        <v>3173</v>
      </c>
      <c r="B702" s="45" t="s">
        <v>808</v>
      </c>
      <c r="C702" s="40" t="s">
        <v>3333</v>
      </c>
      <c r="D702" s="53">
        <v>735.47</v>
      </c>
      <c r="E702" s="53">
        <v>1621.46</v>
      </c>
      <c r="F702" s="53">
        <v>749215.09999999974</v>
      </c>
      <c r="G702" s="578">
        <f t="shared" si="91"/>
        <v>751572.0299999998</v>
      </c>
      <c r="H702" s="41"/>
      <c r="I702" s="41"/>
      <c r="J702" s="41"/>
      <c r="K702" s="41">
        <f t="shared" si="93"/>
        <v>735.47</v>
      </c>
      <c r="L702" s="41">
        <f t="shared" si="94"/>
        <v>1621.46</v>
      </c>
      <c r="M702" s="41">
        <f t="shared" si="95"/>
        <v>749215.09999999974</v>
      </c>
      <c r="N702" s="363">
        <f t="shared" si="92"/>
        <v>0</v>
      </c>
      <c r="O702" s="43" t="s">
        <v>3309</v>
      </c>
      <c r="P702" s="43"/>
      <c r="R702" s="41">
        <f t="shared" si="96"/>
        <v>0</v>
      </c>
      <c r="S702" s="41">
        <f t="shared" si="97"/>
        <v>0</v>
      </c>
      <c r="T702" s="41">
        <f t="shared" si="98"/>
        <v>0</v>
      </c>
      <c r="U702" s="41"/>
      <c r="V702" s="44" t="str">
        <f>IF($P702="High",$S702,IF($P702="Mix",SUMIF('High_Low Voltage Mix Summary'!$B$10:$B$17,$B725,'High_Low Voltage Mix Summary'!$D$10:$D$17),""))</f>
        <v/>
      </c>
      <c r="W702" s="44" t="str">
        <f>IF($P702="Low",$S702,IF($P702="Mix",SUMIF('High_Low Voltage Mix Summary'!$B$10:$B$17,$B725,'High_Low Voltage Mix Summary'!$E$10:$E$17),""))</f>
        <v/>
      </c>
      <c r="X702" s="44" t="str">
        <f>IF($P702="High",$T702,IF($P702="Mix",SUMIF('High_Low Voltage Mix Summary'!$B$10:$B$17,$B725,'High_Low Voltage Mix Summary'!$F$10:$F$17),""))</f>
        <v/>
      </c>
      <c r="Y702" s="44" t="str">
        <f>IF($P702="Low",$T702,IF($P702="Mix",SUMIF('High_Low Voltage Mix Summary'!$B$10:$B$17,$B725,'High_Low Voltage Mix Summary'!$G$10:$G$17),""))</f>
        <v/>
      </c>
      <c r="Z702" s="44" t="str">
        <f>IF(OR($P702="High",$P702="Low"),"",IF($P702="Mix",SUMIF('High_Low Voltage Mix Summary'!$B$10:$B$17,$B725,'High_Low Voltage Mix Summary'!$H$10:$H$17),""))</f>
        <v/>
      </c>
      <c r="AB702" s="49">
        <f>SUMIF('Antelope Bailey Split BA'!$B$7:$B$29,B702,'Antelope Bailey Split BA'!$C$7:$C$29)</f>
        <v>0</v>
      </c>
      <c r="AC702" s="49" t="str">
        <f>IF(AND(AB702=1,'Plant Total by Account'!$H$1=2),"EKWRA","")</f>
        <v/>
      </c>
    </row>
    <row r="703" spans="1:29" x14ac:dyDescent="0.2">
      <c r="A703" s="39" t="s">
        <v>3174</v>
      </c>
      <c r="B703" s="45" t="s">
        <v>809</v>
      </c>
      <c r="C703" s="40" t="s">
        <v>3333</v>
      </c>
      <c r="D703" s="53">
        <v>0</v>
      </c>
      <c r="E703" s="53">
        <v>0</v>
      </c>
      <c r="F703" s="53">
        <v>33698.949999999997</v>
      </c>
      <c r="G703" s="578">
        <f t="shared" si="91"/>
        <v>33698.949999999997</v>
      </c>
      <c r="H703" s="41"/>
      <c r="I703" s="41"/>
      <c r="J703" s="41"/>
      <c r="K703" s="41">
        <f t="shared" si="93"/>
        <v>0</v>
      </c>
      <c r="L703" s="41">
        <f t="shared" si="94"/>
        <v>0</v>
      </c>
      <c r="M703" s="41">
        <f t="shared" si="95"/>
        <v>33698.949999999997</v>
      </c>
      <c r="N703" s="363">
        <f t="shared" si="92"/>
        <v>0</v>
      </c>
      <c r="O703" s="43" t="s">
        <v>3309</v>
      </c>
      <c r="P703" s="43"/>
      <c r="R703" s="41">
        <f t="shared" si="96"/>
        <v>0</v>
      </c>
      <c r="S703" s="41">
        <f t="shared" si="97"/>
        <v>0</v>
      </c>
      <c r="T703" s="41">
        <f t="shared" si="98"/>
        <v>0</v>
      </c>
      <c r="U703" s="41"/>
      <c r="V703" s="44" t="str">
        <f>IF($P703="High",$S703,IF($P703="Mix",SUMIF('High_Low Voltage Mix Summary'!$B$10:$B$17,$B726,'High_Low Voltage Mix Summary'!$D$10:$D$17),""))</f>
        <v/>
      </c>
      <c r="W703" s="44" t="str">
        <f>IF($P703="Low",$S703,IF($P703="Mix",SUMIF('High_Low Voltage Mix Summary'!$B$10:$B$17,$B726,'High_Low Voltage Mix Summary'!$E$10:$E$17),""))</f>
        <v/>
      </c>
      <c r="X703" s="44" t="str">
        <f>IF($P703="High",$T703,IF($P703="Mix",SUMIF('High_Low Voltage Mix Summary'!$B$10:$B$17,$B726,'High_Low Voltage Mix Summary'!$F$10:$F$17),""))</f>
        <v/>
      </c>
      <c r="Y703" s="44" t="str">
        <f>IF($P703="Low",$T703,IF($P703="Mix",SUMIF('High_Low Voltage Mix Summary'!$B$10:$B$17,$B726,'High_Low Voltage Mix Summary'!$G$10:$G$17),""))</f>
        <v/>
      </c>
      <c r="Z703" s="44" t="str">
        <f>IF(OR($P703="High",$P703="Low"),"",IF($P703="Mix",SUMIF('High_Low Voltage Mix Summary'!$B$10:$B$17,$B726,'High_Low Voltage Mix Summary'!$H$10:$H$17),""))</f>
        <v/>
      </c>
      <c r="AB703" s="49">
        <f>SUMIF('Antelope Bailey Split BA'!$B$7:$B$29,B703,'Antelope Bailey Split BA'!$C$7:$C$29)</f>
        <v>0</v>
      </c>
      <c r="AC703" s="49" t="str">
        <f>IF(AND(AB703=1,'Plant Total by Account'!$H$1=2),"EKWRA","")</f>
        <v/>
      </c>
    </row>
    <row r="704" spans="1:29" x14ac:dyDescent="0.2">
      <c r="A704" s="39" t="s">
        <v>3175</v>
      </c>
      <c r="B704" s="45" t="s">
        <v>810</v>
      </c>
      <c r="C704" s="40" t="s">
        <v>3329</v>
      </c>
      <c r="D704" s="53">
        <v>55705.700000000004</v>
      </c>
      <c r="E704" s="53">
        <v>63285.020000000004</v>
      </c>
      <c r="F704" s="53">
        <v>416987.99</v>
      </c>
      <c r="G704" s="578">
        <f t="shared" si="91"/>
        <v>535978.71</v>
      </c>
      <c r="H704" s="41"/>
      <c r="I704" s="41"/>
      <c r="J704" s="41"/>
      <c r="K704" s="41">
        <f t="shared" si="93"/>
        <v>55705.700000000004</v>
      </c>
      <c r="L704" s="41">
        <f t="shared" si="94"/>
        <v>63285.020000000004</v>
      </c>
      <c r="M704" s="41">
        <f t="shared" si="95"/>
        <v>416987.99</v>
      </c>
      <c r="N704" s="363">
        <f t="shared" si="92"/>
        <v>0</v>
      </c>
      <c r="O704" s="43" t="s">
        <v>3309</v>
      </c>
      <c r="P704" s="43"/>
      <c r="R704" s="41">
        <f t="shared" si="96"/>
        <v>0</v>
      </c>
      <c r="S704" s="41">
        <f t="shared" si="97"/>
        <v>0</v>
      </c>
      <c r="T704" s="41">
        <f t="shared" si="98"/>
        <v>0</v>
      </c>
      <c r="U704" s="41"/>
      <c r="V704" s="44" t="str">
        <f>IF($P704="High",$S704,IF($P704="Mix",SUMIF('High_Low Voltage Mix Summary'!$B$10:$B$17,#REF!,'High_Low Voltage Mix Summary'!$D$10:$D$17),""))</f>
        <v/>
      </c>
      <c r="W704" s="44" t="str">
        <f>IF($P704="Low",$S704,IF($P704="Mix",SUMIF('High_Low Voltage Mix Summary'!$B$10:$B$17,#REF!,'High_Low Voltage Mix Summary'!$E$10:$E$17),""))</f>
        <v/>
      </c>
      <c r="X704" s="44" t="str">
        <f>IF($P704="High",$T704,IF($P704="Mix",SUMIF('High_Low Voltage Mix Summary'!$B$10:$B$17,#REF!,'High_Low Voltage Mix Summary'!$F$10:$F$17),""))</f>
        <v/>
      </c>
      <c r="Y704" s="44" t="str">
        <f>IF($P704="Low",$T704,IF($P704="Mix",SUMIF('High_Low Voltage Mix Summary'!$B$10:$B$17,#REF!,'High_Low Voltage Mix Summary'!$G$10:$G$17),""))</f>
        <v/>
      </c>
      <c r="Z704" s="44" t="str">
        <f>IF(OR($P704="High",$P704="Low"),"",IF($P704="Mix",SUMIF('High_Low Voltage Mix Summary'!$B$10:$B$17,#REF!,'High_Low Voltage Mix Summary'!$H$10:$H$17),""))</f>
        <v/>
      </c>
      <c r="AB704" s="49">
        <f>SUMIF('Antelope Bailey Split BA'!$B$7:$B$29,B704,'Antelope Bailey Split BA'!$C$7:$C$29)</f>
        <v>0</v>
      </c>
      <c r="AC704" s="49" t="str">
        <f>IF(AND(AB704=1,'Plant Total by Account'!$H$1=2),"EKWRA","")</f>
        <v/>
      </c>
    </row>
    <row r="705" spans="1:29" x14ac:dyDescent="0.2">
      <c r="A705" s="39" t="s">
        <v>3176</v>
      </c>
      <c r="B705" s="45" t="s">
        <v>811</v>
      </c>
      <c r="C705" s="40" t="s">
        <v>3329</v>
      </c>
      <c r="D705" s="53">
        <v>5647.58</v>
      </c>
      <c r="E705" s="53">
        <v>29056.78</v>
      </c>
      <c r="F705" s="53">
        <v>2870.77</v>
      </c>
      <c r="G705" s="578">
        <f t="shared" si="91"/>
        <v>37575.129999999997</v>
      </c>
      <c r="H705" s="41"/>
      <c r="I705" s="41"/>
      <c r="J705" s="41"/>
      <c r="K705" s="41">
        <f t="shared" si="93"/>
        <v>5647.58</v>
      </c>
      <c r="L705" s="41">
        <f t="shared" si="94"/>
        <v>29056.78</v>
      </c>
      <c r="M705" s="41">
        <f t="shared" si="95"/>
        <v>2870.77</v>
      </c>
      <c r="N705" s="363">
        <f t="shared" si="92"/>
        <v>0</v>
      </c>
      <c r="O705" s="43" t="s">
        <v>3309</v>
      </c>
      <c r="P705" s="43"/>
      <c r="R705" s="41">
        <f t="shared" si="96"/>
        <v>0</v>
      </c>
      <c r="S705" s="41">
        <f t="shared" si="97"/>
        <v>0</v>
      </c>
      <c r="T705" s="41">
        <f t="shared" si="98"/>
        <v>0</v>
      </c>
      <c r="U705" s="41"/>
      <c r="V705" s="44" t="str">
        <f>IF($P705="High",$S705,IF($P705="Mix",SUMIF('High_Low Voltage Mix Summary'!$B$10:$B$17,$B727,'High_Low Voltage Mix Summary'!$D$10:$D$17),""))</f>
        <v/>
      </c>
      <c r="W705" s="44" t="str">
        <f>IF($P705="Low",$S705,IF($P705="Mix",SUMIF('High_Low Voltage Mix Summary'!$B$10:$B$17,$B727,'High_Low Voltage Mix Summary'!$E$10:$E$17),""))</f>
        <v/>
      </c>
      <c r="X705" s="44" t="str">
        <f>IF($P705="High",$T705,IF($P705="Mix",SUMIF('High_Low Voltage Mix Summary'!$B$10:$B$17,$B727,'High_Low Voltage Mix Summary'!$F$10:$F$17),""))</f>
        <v/>
      </c>
      <c r="Y705" s="44" t="str">
        <f>IF($P705="Low",$T705,IF($P705="Mix",SUMIF('High_Low Voltage Mix Summary'!$B$10:$B$17,$B727,'High_Low Voltage Mix Summary'!$G$10:$G$17),""))</f>
        <v/>
      </c>
      <c r="Z705" s="44" t="str">
        <f>IF(OR($P705="High",$P705="Low"),"",IF($P705="Mix",SUMIF('High_Low Voltage Mix Summary'!$B$10:$B$17,$B727,'High_Low Voltage Mix Summary'!$H$10:$H$17),""))</f>
        <v/>
      </c>
      <c r="AB705" s="49">
        <f>SUMIF('Antelope Bailey Split BA'!$B$7:$B$29,B705,'Antelope Bailey Split BA'!$C$7:$C$29)</f>
        <v>0</v>
      </c>
      <c r="AC705" s="49" t="str">
        <f>IF(AND(AB705=1,'Plant Total by Account'!$H$1=2),"EKWRA","")</f>
        <v/>
      </c>
    </row>
    <row r="706" spans="1:29" x14ac:dyDescent="0.2">
      <c r="A706" s="39" t="s">
        <v>3177</v>
      </c>
      <c r="B706" s="47" t="s">
        <v>812</v>
      </c>
      <c r="C706" s="40" t="s">
        <v>3333</v>
      </c>
      <c r="D706" s="53">
        <v>0</v>
      </c>
      <c r="E706" s="53">
        <v>6349.95</v>
      </c>
      <c r="F706" s="53">
        <v>109843.41000000002</v>
      </c>
      <c r="G706" s="578">
        <f t="shared" si="91"/>
        <v>116193.36000000002</v>
      </c>
      <c r="H706" s="41"/>
      <c r="I706" s="41"/>
      <c r="J706" s="41"/>
      <c r="K706" s="41">
        <f t="shared" si="93"/>
        <v>0</v>
      </c>
      <c r="L706" s="41">
        <f t="shared" si="94"/>
        <v>6349.95</v>
      </c>
      <c r="M706" s="41">
        <f t="shared" si="95"/>
        <v>109843.41000000002</v>
      </c>
      <c r="N706" s="363">
        <f t="shared" si="92"/>
        <v>0</v>
      </c>
      <c r="O706" s="43" t="s">
        <v>3309</v>
      </c>
      <c r="P706" s="43"/>
      <c r="R706" s="41">
        <f t="shared" si="96"/>
        <v>0</v>
      </c>
      <c r="S706" s="41">
        <f t="shared" si="97"/>
        <v>0</v>
      </c>
      <c r="T706" s="41">
        <f t="shared" si="98"/>
        <v>0</v>
      </c>
      <c r="U706" s="41"/>
      <c r="V706" s="44" t="str">
        <f>IF($P706="High",$S706,IF($P706="Mix",SUMIF('High_Low Voltage Mix Summary'!$B$10:$B$17,#REF!,'High_Low Voltage Mix Summary'!$D$10:$D$17),""))</f>
        <v/>
      </c>
      <c r="W706" s="44" t="str">
        <f>IF($P706="Low",$S706,IF($P706="Mix",SUMIF('High_Low Voltage Mix Summary'!$B$10:$B$17,#REF!,'High_Low Voltage Mix Summary'!$E$10:$E$17),""))</f>
        <v/>
      </c>
      <c r="X706" s="44" t="str">
        <f>IF($P706="High",$T706,IF($P706="Mix",SUMIF('High_Low Voltage Mix Summary'!$B$10:$B$17,#REF!,'High_Low Voltage Mix Summary'!$F$10:$F$17),""))</f>
        <v/>
      </c>
      <c r="Y706" s="44" t="str">
        <f>IF($P706="Low",$T706,IF($P706="Mix",SUMIF('High_Low Voltage Mix Summary'!$B$10:$B$17,#REF!,'High_Low Voltage Mix Summary'!$G$10:$G$17),""))</f>
        <v/>
      </c>
      <c r="Z706" s="44" t="str">
        <f>IF(OR($P706="High",$P706="Low"),"",IF($P706="Mix",SUMIF('High_Low Voltage Mix Summary'!$B$10:$B$17,#REF!,'High_Low Voltage Mix Summary'!$H$10:$H$17),""))</f>
        <v/>
      </c>
      <c r="AB706" s="49">
        <f>SUMIF('Antelope Bailey Split BA'!$B$7:$B$29,B706,'Antelope Bailey Split BA'!$C$7:$C$29)</f>
        <v>0</v>
      </c>
      <c r="AC706" s="49" t="str">
        <f>IF(AND(AB706=1,'Plant Total by Account'!$H$1=2),"EKWRA","")</f>
        <v/>
      </c>
    </row>
    <row r="707" spans="1:29" x14ac:dyDescent="0.2">
      <c r="A707" s="39" t="s">
        <v>2540</v>
      </c>
      <c r="B707" s="45" t="s">
        <v>813</v>
      </c>
      <c r="C707" s="40" t="s">
        <v>3333</v>
      </c>
      <c r="D707" s="53">
        <v>1279.1500000000001</v>
      </c>
      <c r="E707" s="53">
        <v>17839.48</v>
      </c>
      <c r="F707" s="53">
        <v>1723967.3399999996</v>
      </c>
      <c r="G707" s="578">
        <f t="shared" si="91"/>
        <v>1743085.9699999995</v>
      </c>
      <c r="H707" s="41"/>
      <c r="I707" s="41"/>
      <c r="J707" s="41"/>
      <c r="K707" s="41">
        <f t="shared" si="93"/>
        <v>1279.1500000000001</v>
      </c>
      <c r="L707" s="41">
        <f t="shared" si="94"/>
        <v>17839.48</v>
      </c>
      <c r="M707" s="41">
        <f t="shared" si="95"/>
        <v>1723967.3399999996</v>
      </c>
      <c r="N707" s="363">
        <f t="shared" si="92"/>
        <v>0</v>
      </c>
      <c r="O707" s="43" t="s">
        <v>3309</v>
      </c>
      <c r="P707" s="43"/>
      <c r="R707" s="41">
        <f t="shared" si="96"/>
        <v>0</v>
      </c>
      <c r="S707" s="41">
        <f t="shared" si="97"/>
        <v>0</v>
      </c>
      <c r="T707" s="41">
        <f t="shared" si="98"/>
        <v>0</v>
      </c>
      <c r="U707" s="41"/>
      <c r="V707" s="44" t="str">
        <f>IF($P707="High",$S707,IF($P707="Mix",SUMIF('High_Low Voltage Mix Summary'!$B$10:$B$17,$B728,'High_Low Voltage Mix Summary'!$D$10:$D$17),""))</f>
        <v/>
      </c>
      <c r="W707" s="44" t="str">
        <f>IF($P707="Low",$S707,IF($P707="Mix",SUMIF('High_Low Voltage Mix Summary'!$B$10:$B$17,$B728,'High_Low Voltage Mix Summary'!$E$10:$E$17),""))</f>
        <v/>
      </c>
      <c r="X707" s="44" t="str">
        <f>IF($P707="High",$T707,IF($P707="Mix",SUMIF('High_Low Voltage Mix Summary'!$B$10:$B$17,$B728,'High_Low Voltage Mix Summary'!$F$10:$F$17),""))</f>
        <v/>
      </c>
      <c r="Y707" s="44" t="str">
        <f>IF($P707="Low",$T707,IF($P707="Mix",SUMIF('High_Low Voltage Mix Summary'!$B$10:$B$17,$B728,'High_Low Voltage Mix Summary'!$G$10:$G$17),""))</f>
        <v/>
      </c>
      <c r="Z707" s="44" t="str">
        <f>IF(OR($P707="High",$P707="Low"),"",IF($P707="Mix",SUMIF('High_Low Voltage Mix Summary'!$B$10:$B$17,$B728,'High_Low Voltage Mix Summary'!$H$10:$H$17),""))</f>
        <v/>
      </c>
      <c r="AB707" s="49">
        <f>SUMIF('Antelope Bailey Split BA'!$B$7:$B$29,B707,'Antelope Bailey Split BA'!$C$7:$C$29)</f>
        <v>0</v>
      </c>
      <c r="AC707" s="49" t="str">
        <f>IF(AND(AB707=1,'Plant Total by Account'!$H$1=2),"EKWRA","")</f>
        <v/>
      </c>
    </row>
    <row r="708" spans="1:29" x14ac:dyDescent="0.2">
      <c r="A708" s="39" t="s">
        <v>2541</v>
      </c>
      <c r="B708" s="45" t="s">
        <v>814</v>
      </c>
      <c r="C708" s="40" t="s">
        <v>3333</v>
      </c>
      <c r="D708" s="53">
        <v>4124.09</v>
      </c>
      <c r="E708" s="53">
        <v>111845.79000000001</v>
      </c>
      <c r="F708" s="53">
        <v>5496939.3799999943</v>
      </c>
      <c r="G708" s="578">
        <f t="shared" si="91"/>
        <v>5612909.2599999942</v>
      </c>
      <c r="H708" s="41"/>
      <c r="I708" s="41"/>
      <c r="J708" s="41"/>
      <c r="K708" s="41">
        <f t="shared" si="93"/>
        <v>4124.09</v>
      </c>
      <c r="L708" s="41">
        <f t="shared" si="94"/>
        <v>111845.79000000001</v>
      </c>
      <c r="M708" s="41">
        <f t="shared" si="95"/>
        <v>5496939.3799999943</v>
      </c>
      <c r="N708" s="363">
        <f t="shared" si="92"/>
        <v>0</v>
      </c>
      <c r="O708" s="43" t="s">
        <v>3309</v>
      </c>
      <c r="P708" s="43"/>
      <c r="R708" s="41">
        <f t="shared" si="96"/>
        <v>0</v>
      </c>
      <c r="S708" s="41">
        <f t="shared" si="97"/>
        <v>0</v>
      </c>
      <c r="T708" s="41">
        <f t="shared" si="98"/>
        <v>0</v>
      </c>
      <c r="U708" s="41"/>
      <c r="V708" s="44" t="str">
        <f>IF($P708="High",$S708,IF($P708="Mix",SUMIF('High_Low Voltage Mix Summary'!$B$10:$B$17,$B729,'High_Low Voltage Mix Summary'!$D$10:$D$17),""))</f>
        <v/>
      </c>
      <c r="W708" s="44" t="str">
        <f>IF($P708="Low",$S708,IF($P708="Mix",SUMIF('High_Low Voltage Mix Summary'!$B$10:$B$17,$B729,'High_Low Voltage Mix Summary'!$E$10:$E$17),""))</f>
        <v/>
      </c>
      <c r="X708" s="44" t="str">
        <f>IF($P708="High",$T708,IF($P708="Mix",SUMIF('High_Low Voltage Mix Summary'!$B$10:$B$17,$B729,'High_Low Voltage Mix Summary'!$F$10:$F$17),""))</f>
        <v/>
      </c>
      <c r="Y708" s="44" t="str">
        <f>IF($P708="Low",$T708,IF($P708="Mix",SUMIF('High_Low Voltage Mix Summary'!$B$10:$B$17,$B729,'High_Low Voltage Mix Summary'!$G$10:$G$17),""))</f>
        <v/>
      </c>
      <c r="Z708" s="44" t="str">
        <f>IF(OR($P708="High",$P708="Low"),"",IF($P708="Mix",SUMIF('High_Low Voltage Mix Summary'!$B$10:$B$17,$B729,'High_Low Voltage Mix Summary'!$H$10:$H$17),""))</f>
        <v/>
      </c>
      <c r="AB708" s="49">
        <f>SUMIF('Antelope Bailey Split BA'!$B$7:$B$29,B708,'Antelope Bailey Split BA'!$C$7:$C$29)</f>
        <v>0</v>
      </c>
      <c r="AC708" s="49" t="str">
        <f>IF(AND(AB708=1,'Plant Total by Account'!$H$1=2),"EKWRA","")</f>
        <v/>
      </c>
    </row>
    <row r="709" spans="1:29" x14ac:dyDescent="0.2">
      <c r="A709" s="39" t="s">
        <v>2542</v>
      </c>
      <c r="B709" s="45" t="s">
        <v>815</v>
      </c>
      <c r="C709" s="40" t="s">
        <v>3333</v>
      </c>
      <c r="D709" s="53">
        <v>237.32</v>
      </c>
      <c r="E709" s="53">
        <v>0</v>
      </c>
      <c r="F709" s="53">
        <v>95571.590000000011</v>
      </c>
      <c r="G709" s="578">
        <f t="shared" si="91"/>
        <v>95808.910000000018</v>
      </c>
      <c r="H709" s="41"/>
      <c r="I709" s="41"/>
      <c r="J709" s="41"/>
      <c r="K709" s="41">
        <f t="shared" si="93"/>
        <v>237.32</v>
      </c>
      <c r="L709" s="41">
        <f t="shared" si="94"/>
        <v>0</v>
      </c>
      <c r="M709" s="41">
        <f t="shared" si="95"/>
        <v>95571.590000000011</v>
      </c>
      <c r="N709" s="363">
        <f t="shared" si="92"/>
        <v>0</v>
      </c>
      <c r="O709" s="43" t="s">
        <v>3309</v>
      </c>
      <c r="P709" s="43"/>
      <c r="R709" s="41">
        <f t="shared" si="96"/>
        <v>0</v>
      </c>
      <c r="S709" s="41">
        <f t="shared" si="97"/>
        <v>0</v>
      </c>
      <c r="T709" s="41">
        <f t="shared" si="98"/>
        <v>0</v>
      </c>
      <c r="U709" s="41"/>
      <c r="V709" s="44" t="str">
        <f>IF($P709="High",$S709,IF($P709="Mix",SUMIF('High_Low Voltage Mix Summary'!$B$10:$B$17,$B730,'High_Low Voltage Mix Summary'!$D$10:$D$17),""))</f>
        <v/>
      </c>
      <c r="W709" s="44" t="str">
        <f>IF($P709="Low",$S709,IF($P709="Mix",SUMIF('High_Low Voltage Mix Summary'!$B$10:$B$17,$B730,'High_Low Voltage Mix Summary'!$E$10:$E$17),""))</f>
        <v/>
      </c>
      <c r="X709" s="44" t="str">
        <f>IF($P709="High",$T709,IF($P709="Mix",SUMIF('High_Low Voltage Mix Summary'!$B$10:$B$17,$B730,'High_Low Voltage Mix Summary'!$F$10:$F$17),""))</f>
        <v/>
      </c>
      <c r="Y709" s="44" t="str">
        <f>IF($P709="Low",$T709,IF($P709="Mix",SUMIF('High_Low Voltage Mix Summary'!$B$10:$B$17,$B730,'High_Low Voltage Mix Summary'!$G$10:$G$17),""))</f>
        <v/>
      </c>
      <c r="Z709" s="44" t="str">
        <f>IF(OR($P709="High",$P709="Low"),"",IF($P709="Mix",SUMIF('High_Low Voltage Mix Summary'!$B$10:$B$17,$B730,'High_Low Voltage Mix Summary'!$H$10:$H$17),""))</f>
        <v/>
      </c>
      <c r="AB709" s="49">
        <f>SUMIF('Antelope Bailey Split BA'!$B$7:$B$29,B709,'Antelope Bailey Split BA'!$C$7:$C$29)</f>
        <v>0</v>
      </c>
      <c r="AC709" s="49" t="str">
        <f>IF(AND(AB709=1,'Plant Total by Account'!$H$1=2),"EKWRA","")</f>
        <v/>
      </c>
    </row>
    <row r="710" spans="1:29" x14ac:dyDescent="0.2">
      <c r="A710" s="39" t="s">
        <v>3178</v>
      </c>
      <c r="B710" s="45" t="s">
        <v>816</v>
      </c>
      <c r="C710" s="40" t="s">
        <v>3333</v>
      </c>
      <c r="D710" s="53">
        <v>46674.939999999995</v>
      </c>
      <c r="E710" s="53">
        <v>75121.98</v>
      </c>
      <c r="F710" s="53">
        <v>1638125.8900000001</v>
      </c>
      <c r="G710" s="578">
        <f t="shared" si="91"/>
        <v>1759922.81</v>
      </c>
      <c r="H710" s="41"/>
      <c r="I710" s="41"/>
      <c r="J710" s="41"/>
      <c r="K710" s="41">
        <f t="shared" si="93"/>
        <v>46674.939999999995</v>
      </c>
      <c r="L710" s="41">
        <f t="shared" si="94"/>
        <v>75121.98</v>
      </c>
      <c r="M710" s="41">
        <f t="shared" si="95"/>
        <v>1638125.8900000001</v>
      </c>
      <c r="N710" s="363">
        <f t="shared" si="92"/>
        <v>0</v>
      </c>
      <c r="O710" s="43" t="s">
        <v>3309</v>
      </c>
      <c r="P710" s="43"/>
      <c r="R710" s="41">
        <f t="shared" si="96"/>
        <v>0</v>
      </c>
      <c r="S710" s="41">
        <f t="shared" si="97"/>
        <v>0</v>
      </c>
      <c r="T710" s="41">
        <f t="shared" si="98"/>
        <v>0</v>
      </c>
      <c r="U710" s="41"/>
      <c r="V710" s="44" t="str">
        <f>IF($P710="High",$S710,IF($P710="Mix",SUMIF('High_Low Voltage Mix Summary'!$B$10:$B$17,$B731,'High_Low Voltage Mix Summary'!$D$10:$D$17),""))</f>
        <v/>
      </c>
      <c r="W710" s="44" t="str">
        <f>IF($P710="Low",$S710,IF($P710="Mix",SUMIF('High_Low Voltage Mix Summary'!$B$10:$B$17,$B731,'High_Low Voltage Mix Summary'!$E$10:$E$17),""))</f>
        <v/>
      </c>
      <c r="X710" s="44" t="str">
        <f>IF($P710="High",$T710,IF($P710="Mix",SUMIF('High_Low Voltage Mix Summary'!$B$10:$B$17,$B731,'High_Low Voltage Mix Summary'!$F$10:$F$17),""))</f>
        <v/>
      </c>
      <c r="Y710" s="44" t="str">
        <f>IF($P710="Low",$T710,IF($P710="Mix",SUMIF('High_Low Voltage Mix Summary'!$B$10:$B$17,$B731,'High_Low Voltage Mix Summary'!$G$10:$G$17),""))</f>
        <v/>
      </c>
      <c r="Z710" s="44" t="str">
        <f>IF(OR($P710="High",$P710="Low"),"",IF($P710="Mix",SUMIF('High_Low Voltage Mix Summary'!$B$10:$B$17,$B731,'High_Low Voltage Mix Summary'!$H$10:$H$17),""))</f>
        <v/>
      </c>
      <c r="AB710" s="49">
        <f>SUMIF('Antelope Bailey Split BA'!$B$7:$B$29,B710,'Antelope Bailey Split BA'!$C$7:$C$29)</f>
        <v>0</v>
      </c>
      <c r="AC710" s="49" t="str">
        <f>IF(AND(AB710=1,'Plant Total by Account'!$H$1=2),"EKWRA","")</f>
        <v/>
      </c>
    </row>
    <row r="711" spans="1:29" x14ac:dyDescent="0.2">
      <c r="A711" s="39" t="s">
        <v>3179</v>
      </c>
      <c r="B711" s="45" t="s">
        <v>817</v>
      </c>
      <c r="C711" s="40" t="s">
        <v>3333</v>
      </c>
      <c r="D711" s="53">
        <v>202.59</v>
      </c>
      <c r="E711" s="53">
        <v>1125.29</v>
      </c>
      <c r="F711" s="53">
        <v>190348.84000000005</v>
      </c>
      <c r="G711" s="578">
        <f t="shared" si="91"/>
        <v>191676.72000000006</v>
      </c>
      <c r="H711" s="41"/>
      <c r="I711" s="41"/>
      <c r="J711" s="41"/>
      <c r="K711" s="41">
        <f t="shared" si="93"/>
        <v>202.59</v>
      </c>
      <c r="L711" s="41">
        <f t="shared" si="94"/>
        <v>1125.29</v>
      </c>
      <c r="M711" s="41">
        <f t="shared" si="95"/>
        <v>190348.84000000005</v>
      </c>
      <c r="N711" s="363">
        <f t="shared" si="92"/>
        <v>0</v>
      </c>
      <c r="O711" s="43" t="s">
        <v>3309</v>
      </c>
      <c r="P711" s="43"/>
      <c r="R711" s="41">
        <f t="shared" si="96"/>
        <v>0</v>
      </c>
      <c r="S711" s="41">
        <f t="shared" si="97"/>
        <v>0</v>
      </c>
      <c r="T711" s="41">
        <f t="shared" si="98"/>
        <v>0</v>
      </c>
      <c r="U711" s="41"/>
      <c r="V711" s="44" t="str">
        <f>IF($P711="High",$S711,IF($P711="Mix",SUMIF('High_Low Voltage Mix Summary'!$B$10:$B$17,$B732,'High_Low Voltage Mix Summary'!$D$10:$D$17),""))</f>
        <v/>
      </c>
      <c r="W711" s="44" t="str">
        <f>IF($P711="Low",$S711,IF($P711="Mix",SUMIF('High_Low Voltage Mix Summary'!$B$10:$B$17,$B732,'High_Low Voltage Mix Summary'!$E$10:$E$17),""))</f>
        <v/>
      </c>
      <c r="X711" s="44" t="str">
        <f>IF($P711="High",$T711,IF($P711="Mix",SUMIF('High_Low Voltage Mix Summary'!$B$10:$B$17,$B732,'High_Low Voltage Mix Summary'!$F$10:$F$17),""))</f>
        <v/>
      </c>
      <c r="Y711" s="44" t="str">
        <f>IF($P711="Low",$T711,IF($P711="Mix",SUMIF('High_Low Voltage Mix Summary'!$B$10:$B$17,$B732,'High_Low Voltage Mix Summary'!$G$10:$G$17),""))</f>
        <v/>
      </c>
      <c r="Z711" s="44" t="str">
        <f>IF(OR($P711="High",$P711="Low"),"",IF($P711="Mix",SUMIF('High_Low Voltage Mix Summary'!$B$10:$B$17,$B732,'High_Low Voltage Mix Summary'!$H$10:$H$17),""))</f>
        <v/>
      </c>
      <c r="AB711" s="49">
        <f>SUMIF('Antelope Bailey Split BA'!$B$7:$B$29,B711,'Antelope Bailey Split BA'!$C$7:$C$29)</f>
        <v>0</v>
      </c>
      <c r="AC711" s="49" t="str">
        <f>IF(AND(AB711=1,'Plant Total by Account'!$H$1=2),"EKWRA","")</f>
        <v/>
      </c>
    </row>
    <row r="712" spans="1:29" x14ac:dyDescent="0.2">
      <c r="A712" s="39" t="s">
        <v>2543</v>
      </c>
      <c r="B712" s="45" t="s">
        <v>818</v>
      </c>
      <c r="C712" s="40" t="s">
        <v>3333</v>
      </c>
      <c r="D712" s="53">
        <v>0</v>
      </c>
      <c r="E712" s="53">
        <v>8386.94</v>
      </c>
      <c r="F712" s="53">
        <v>658951.87000000034</v>
      </c>
      <c r="G712" s="578">
        <f t="shared" si="91"/>
        <v>667338.81000000029</v>
      </c>
      <c r="H712" s="41"/>
      <c r="I712" s="41"/>
      <c r="J712" s="41"/>
      <c r="K712" s="41">
        <f t="shared" si="93"/>
        <v>0</v>
      </c>
      <c r="L712" s="41">
        <f t="shared" si="94"/>
        <v>8386.94</v>
      </c>
      <c r="M712" s="41">
        <f t="shared" si="95"/>
        <v>658951.87000000034</v>
      </c>
      <c r="N712" s="363">
        <f t="shared" si="92"/>
        <v>0</v>
      </c>
      <c r="O712" s="43" t="s">
        <v>3309</v>
      </c>
      <c r="P712" s="43"/>
      <c r="R712" s="41">
        <f t="shared" ref="R712:R743" si="99">SUM(H712:J712)</f>
        <v>0</v>
      </c>
      <c r="S712" s="41">
        <f t="shared" ref="S712:S743" si="100">H712</f>
        <v>0</v>
      </c>
      <c r="T712" s="41">
        <f t="shared" ref="T712:T743" si="101">SUM(I712:J712)</f>
        <v>0</v>
      </c>
      <c r="U712" s="41"/>
      <c r="V712" s="44" t="str">
        <f>IF($P712="High",$S712,IF($P712="Mix",SUMIF('High_Low Voltage Mix Summary'!$B$10:$B$17,$B733,'High_Low Voltage Mix Summary'!$D$10:$D$17),""))</f>
        <v/>
      </c>
      <c r="W712" s="44" t="str">
        <f>IF($P712="Low",$S712,IF($P712="Mix",SUMIF('High_Low Voltage Mix Summary'!$B$10:$B$17,$B733,'High_Low Voltage Mix Summary'!$E$10:$E$17),""))</f>
        <v/>
      </c>
      <c r="X712" s="44" t="str">
        <f>IF($P712="High",$T712,IF($P712="Mix",SUMIF('High_Low Voltage Mix Summary'!$B$10:$B$17,$B733,'High_Low Voltage Mix Summary'!$F$10:$F$17),""))</f>
        <v/>
      </c>
      <c r="Y712" s="44" t="str">
        <f>IF($P712="Low",$T712,IF($P712="Mix",SUMIF('High_Low Voltage Mix Summary'!$B$10:$B$17,$B733,'High_Low Voltage Mix Summary'!$G$10:$G$17),""))</f>
        <v/>
      </c>
      <c r="Z712" s="44" t="str">
        <f>IF(OR($P712="High",$P712="Low"),"",IF($P712="Mix",SUMIF('High_Low Voltage Mix Summary'!$B$10:$B$17,$B733,'High_Low Voltage Mix Summary'!$H$10:$H$17),""))</f>
        <v/>
      </c>
      <c r="AB712" s="49">
        <f>SUMIF('Antelope Bailey Split BA'!$B$7:$B$29,B712,'Antelope Bailey Split BA'!$C$7:$C$29)</f>
        <v>0</v>
      </c>
      <c r="AC712" s="49" t="str">
        <f>IF(AND(AB712=1,'Plant Total by Account'!$H$1=2),"EKWRA","")</f>
        <v/>
      </c>
    </row>
    <row r="713" spans="1:29" x14ac:dyDescent="0.2">
      <c r="A713" s="39" t="s">
        <v>3180</v>
      </c>
      <c r="B713" s="45" t="s">
        <v>819</v>
      </c>
      <c r="C713" s="40" t="s">
        <v>3333</v>
      </c>
      <c r="D713" s="53">
        <v>97.65</v>
      </c>
      <c r="E713" s="53">
        <v>0</v>
      </c>
      <c r="F713" s="53">
        <v>125445.84000000003</v>
      </c>
      <c r="G713" s="578">
        <f t="shared" si="91"/>
        <v>125543.49000000002</v>
      </c>
      <c r="H713" s="41"/>
      <c r="I713" s="41"/>
      <c r="J713" s="41"/>
      <c r="K713" s="41">
        <f t="shared" si="93"/>
        <v>97.65</v>
      </c>
      <c r="L713" s="41">
        <f t="shared" si="94"/>
        <v>0</v>
      </c>
      <c r="M713" s="41">
        <f t="shared" si="95"/>
        <v>125445.84000000003</v>
      </c>
      <c r="N713" s="363">
        <f t="shared" si="92"/>
        <v>0</v>
      </c>
      <c r="O713" s="43" t="s">
        <v>3309</v>
      </c>
      <c r="P713" s="43"/>
      <c r="R713" s="41">
        <f t="shared" si="99"/>
        <v>0</v>
      </c>
      <c r="S713" s="41">
        <f t="shared" si="100"/>
        <v>0</v>
      </c>
      <c r="T713" s="41">
        <f t="shared" si="101"/>
        <v>0</v>
      </c>
      <c r="U713" s="41"/>
      <c r="V713" s="44" t="str">
        <f>IF($P713="High",$S713,IF($P713="Mix",SUMIF('High_Low Voltage Mix Summary'!$B$10:$B$17,$B734,'High_Low Voltage Mix Summary'!$D$10:$D$17),""))</f>
        <v/>
      </c>
      <c r="W713" s="44" t="str">
        <f>IF($P713="Low",$S713,IF($P713="Mix",SUMIF('High_Low Voltage Mix Summary'!$B$10:$B$17,$B734,'High_Low Voltage Mix Summary'!$E$10:$E$17),""))</f>
        <v/>
      </c>
      <c r="X713" s="44" t="str">
        <f>IF($P713="High",$T713,IF($P713="Mix",SUMIF('High_Low Voltage Mix Summary'!$B$10:$B$17,$B734,'High_Low Voltage Mix Summary'!$F$10:$F$17),""))</f>
        <v/>
      </c>
      <c r="Y713" s="44" t="str">
        <f>IF($P713="Low",$T713,IF($P713="Mix",SUMIF('High_Low Voltage Mix Summary'!$B$10:$B$17,$B734,'High_Low Voltage Mix Summary'!$G$10:$G$17),""))</f>
        <v/>
      </c>
      <c r="Z713" s="44" t="str">
        <f>IF(OR($P713="High",$P713="Low"),"",IF($P713="Mix",SUMIF('High_Low Voltage Mix Summary'!$B$10:$B$17,$B734,'High_Low Voltage Mix Summary'!$H$10:$H$17),""))</f>
        <v/>
      </c>
      <c r="AB713" s="49">
        <f>SUMIF('Antelope Bailey Split BA'!$B$7:$B$29,B713,'Antelope Bailey Split BA'!$C$7:$C$29)</f>
        <v>0</v>
      </c>
      <c r="AC713" s="49" t="str">
        <f>IF(AND(AB713=1,'Plant Total by Account'!$H$1=2),"EKWRA","")</f>
        <v/>
      </c>
    </row>
    <row r="714" spans="1:29" x14ac:dyDescent="0.2">
      <c r="A714" s="39" t="s">
        <v>3181</v>
      </c>
      <c r="B714" s="45" t="s">
        <v>820</v>
      </c>
      <c r="C714" s="40" t="s">
        <v>3333</v>
      </c>
      <c r="D714" s="53">
        <v>0</v>
      </c>
      <c r="E714" s="53">
        <v>15021.160000000002</v>
      </c>
      <c r="F714" s="53">
        <v>145693.9</v>
      </c>
      <c r="G714" s="578">
        <f t="shared" ref="G714:G777" si="102">SUM(D714:F714)</f>
        <v>160715.06</v>
      </c>
      <c r="H714" s="41"/>
      <c r="I714" s="41"/>
      <c r="J714" s="41"/>
      <c r="K714" s="41">
        <f t="shared" si="93"/>
        <v>0</v>
      </c>
      <c r="L714" s="41">
        <f t="shared" si="94"/>
        <v>15021.160000000002</v>
      </c>
      <c r="M714" s="41">
        <f t="shared" si="95"/>
        <v>145693.9</v>
      </c>
      <c r="N714" s="363">
        <f t="shared" ref="N714:N777" si="103">G714-SUM(H714:M714)</f>
        <v>0</v>
      </c>
      <c r="O714" s="43" t="s">
        <v>3309</v>
      </c>
      <c r="P714" s="43"/>
      <c r="R714" s="41">
        <f t="shared" si="99"/>
        <v>0</v>
      </c>
      <c r="S714" s="41">
        <f t="shared" si="100"/>
        <v>0</v>
      </c>
      <c r="T714" s="41">
        <f t="shared" si="101"/>
        <v>0</v>
      </c>
      <c r="U714" s="41"/>
      <c r="V714" s="44" t="str">
        <f>IF($P714="High",$S714,IF($P714="Mix",SUMIF('High_Low Voltage Mix Summary'!$B$10:$B$17,$B735,'High_Low Voltage Mix Summary'!$D$10:$D$17),""))</f>
        <v/>
      </c>
      <c r="W714" s="44" t="str">
        <f>IF($P714="Low",$S714,IF($P714="Mix",SUMIF('High_Low Voltage Mix Summary'!$B$10:$B$17,$B735,'High_Low Voltage Mix Summary'!$E$10:$E$17),""))</f>
        <v/>
      </c>
      <c r="X714" s="44" t="str">
        <f>IF($P714="High",$T714,IF($P714="Mix",SUMIF('High_Low Voltage Mix Summary'!$B$10:$B$17,$B735,'High_Low Voltage Mix Summary'!$F$10:$F$17),""))</f>
        <v/>
      </c>
      <c r="Y714" s="44" t="str">
        <f>IF($P714="Low",$T714,IF($P714="Mix",SUMIF('High_Low Voltage Mix Summary'!$B$10:$B$17,$B735,'High_Low Voltage Mix Summary'!$G$10:$G$17),""))</f>
        <v/>
      </c>
      <c r="Z714" s="44" t="str">
        <f>IF(OR($P714="High",$P714="Low"),"",IF($P714="Mix",SUMIF('High_Low Voltage Mix Summary'!$B$10:$B$17,$B735,'High_Low Voltage Mix Summary'!$H$10:$H$17),""))</f>
        <v/>
      </c>
      <c r="AB714" s="49">
        <f>SUMIF('Antelope Bailey Split BA'!$B$7:$B$29,B714,'Antelope Bailey Split BA'!$C$7:$C$29)</f>
        <v>0</v>
      </c>
      <c r="AC714" s="49" t="str">
        <f>IF(AND(AB714=1,'Plant Total by Account'!$H$1=2),"EKWRA","")</f>
        <v/>
      </c>
    </row>
    <row r="715" spans="1:29" x14ac:dyDescent="0.2">
      <c r="A715" s="39" t="s">
        <v>3182</v>
      </c>
      <c r="B715" s="45" t="s">
        <v>821</v>
      </c>
      <c r="C715" s="40" t="s">
        <v>3333</v>
      </c>
      <c r="D715" s="53">
        <v>660.72</v>
      </c>
      <c r="E715" s="53">
        <v>27262.129999999997</v>
      </c>
      <c r="F715" s="53">
        <v>2730876.54</v>
      </c>
      <c r="G715" s="578">
        <f t="shared" si="102"/>
        <v>2758799.39</v>
      </c>
      <c r="H715" s="41"/>
      <c r="I715" s="41"/>
      <c r="J715" s="41"/>
      <c r="K715" s="41">
        <f t="shared" si="93"/>
        <v>660.72</v>
      </c>
      <c r="L715" s="41">
        <f t="shared" si="94"/>
        <v>27262.129999999997</v>
      </c>
      <c r="M715" s="41">
        <f t="shared" si="95"/>
        <v>2730876.54</v>
      </c>
      <c r="N715" s="363">
        <f t="shared" si="103"/>
        <v>0</v>
      </c>
      <c r="O715" s="43" t="s">
        <v>3309</v>
      </c>
      <c r="P715" s="43"/>
      <c r="R715" s="41">
        <f t="shared" si="99"/>
        <v>0</v>
      </c>
      <c r="S715" s="41">
        <f t="shared" si="100"/>
        <v>0</v>
      </c>
      <c r="T715" s="41">
        <f t="shared" si="101"/>
        <v>0</v>
      </c>
      <c r="U715" s="41"/>
      <c r="V715" s="44" t="str">
        <f>IF($P715="High",$S715,IF($P715="Mix",SUMIF('High_Low Voltage Mix Summary'!$B$10:$B$17,$B736,'High_Low Voltage Mix Summary'!$D$10:$D$17),""))</f>
        <v/>
      </c>
      <c r="W715" s="44" t="str">
        <f>IF($P715="Low",$S715,IF($P715="Mix",SUMIF('High_Low Voltage Mix Summary'!$B$10:$B$17,$B736,'High_Low Voltage Mix Summary'!$E$10:$E$17),""))</f>
        <v/>
      </c>
      <c r="X715" s="44" t="str">
        <f>IF($P715="High",$T715,IF($P715="Mix",SUMIF('High_Low Voltage Mix Summary'!$B$10:$B$17,$B736,'High_Low Voltage Mix Summary'!$F$10:$F$17),""))</f>
        <v/>
      </c>
      <c r="Y715" s="44" t="str">
        <f>IF($P715="Low",$T715,IF($P715="Mix",SUMIF('High_Low Voltage Mix Summary'!$B$10:$B$17,$B736,'High_Low Voltage Mix Summary'!$G$10:$G$17),""))</f>
        <v/>
      </c>
      <c r="Z715" s="44" t="str">
        <f>IF(OR($P715="High",$P715="Low"),"",IF($P715="Mix",SUMIF('High_Low Voltage Mix Summary'!$B$10:$B$17,$B736,'High_Low Voltage Mix Summary'!$H$10:$H$17),""))</f>
        <v/>
      </c>
      <c r="AB715" s="49">
        <f>SUMIF('Antelope Bailey Split BA'!$B$7:$B$29,B715,'Antelope Bailey Split BA'!$C$7:$C$29)</f>
        <v>0</v>
      </c>
      <c r="AC715" s="49" t="str">
        <f>IF(AND(AB715=1,'Plant Total by Account'!$H$1=2),"EKWRA","")</f>
        <v/>
      </c>
    </row>
    <row r="716" spans="1:29" x14ac:dyDescent="0.2">
      <c r="A716" s="39" t="s">
        <v>2544</v>
      </c>
      <c r="B716" s="45" t="s">
        <v>822</v>
      </c>
      <c r="C716" s="40" t="s">
        <v>3333</v>
      </c>
      <c r="D716" s="53">
        <v>3158.84</v>
      </c>
      <c r="E716" s="53">
        <v>76355.960000000006</v>
      </c>
      <c r="F716" s="53">
        <v>532916.26</v>
      </c>
      <c r="G716" s="578">
        <f t="shared" si="102"/>
        <v>612431.06000000006</v>
      </c>
      <c r="H716" s="41"/>
      <c r="I716" s="41"/>
      <c r="J716" s="41"/>
      <c r="K716" s="41">
        <f t="shared" si="93"/>
        <v>3158.84</v>
      </c>
      <c r="L716" s="41">
        <f t="shared" si="94"/>
        <v>76355.960000000006</v>
      </c>
      <c r="M716" s="41">
        <f t="shared" si="95"/>
        <v>532916.26</v>
      </c>
      <c r="N716" s="363">
        <f t="shared" si="103"/>
        <v>0</v>
      </c>
      <c r="O716" s="43" t="s">
        <v>3309</v>
      </c>
      <c r="P716" s="43"/>
      <c r="R716" s="41">
        <f t="shared" si="99"/>
        <v>0</v>
      </c>
      <c r="S716" s="41">
        <f t="shared" si="100"/>
        <v>0</v>
      </c>
      <c r="T716" s="41">
        <f t="shared" si="101"/>
        <v>0</v>
      </c>
      <c r="U716" s="41"/>
      <c r="V716" s="44" t="str">
        <f>IF($P716="High",$S716,IF($P716="Mix",SUMIF('High_Low Voltage Mix Summary'!$B$10:$B$17,$B737,'High_Low Voltage Mix Summary'!$D$10:$D$17),""))</f>
        <v/>
      </c>
      <c r="W716" s="44" t="str">
        <f>IF($P716="Low",$S716,IF($P716="Mix",SUMIF('High_Low Voltage Mix Summary'!$B$10:$B$17,$B737,'High_Low Voltage Mix Summary'!$E$10:$E$17),""))</f>
        <v/>
      </c>
      <c r="X716" s="44" t="str">
        <f>IF($P716="High",$T716,IF($P716="Mix",SUMIF('High_Low Voltage Mix Summary'!$B$10:$B$17,$B737,'High_Low Voltage Mix Summary'!$F$10:$F$17),""))</f>
        <v/>
      </c>
      <c r="Y716" s="44" t="str">
        <f>IF($P716="Low",$T716,IF($P716="Mix",SUMIF('High_Low Voltage Mix Summary'!$B$10:$B$17,$B737,'High_Low Voltage Mix Summary'!$G$10:$G$17),""))</f>
        <v/>
      </c>
      <c r="Z716" s="44" t="str">
        <f>IF(OR($P716="High",$P716="Low"),"",IF($P716="Mix",SUMIF('High_Low Voltage Mix Summary'!$B$10:$B$17,$B737,'High_Low Voltage Mix Summary'!$H$10:$H$17),""))</f>
        <v/>
      </c>
      <c r="AB716" s="49">
        <f>SUMIF('Antelope Bailey Split BA'!$B$7:$B$29,B716,'Antelope Bailey Split BA'!$C$7:$C$29)</f>
        <v>0</v>
      </c>
      <c r="AC716" s="49" t="str">
        <f>IF(AND(AB716=1,'Plant Total by Account'!$H$1=2),"EKWRA","")</f>
        <v/>
      </c>
    </row>
    <row r="717" spans="1:29" x14ac:dyDescent="0.2">
      <c r="A717" s="39" t="s">
        <v>3183</v>
      </c>
      <c r="B717" s="45" t="s">
        <v>823</v>
      </c>
      <c r="C717" s="40" t="s">
        <v>3333</v>
      </c>
      <c r="D717" s="53">
        <v>191175.81000000003</v>
      </c>
      <c r="E717" s="53">
        <v>0</v>
      </c>
      <c r="F717" s="53">
        <v>6479.41</v>
      </c>
      <c r="G717" s="578">
        <f t="shared" si="102"/>
        <v>197655.22000000003</v>
      </c>
      <c r="H717" s="41"/>
      <c r="I717" s="41"/>
      <c r="J717" s="41"/>
      <c r="K717" s="41">
        <f t="shared" si="93"/>
        <v>191175.81000000003</v>
      </c>
      <c r="L717" s="41">
        <f t="shared" si="94"/>
        <v>0</v>
      </c>
      <c r="M717" s="41">
        <f t="shared" si="95"/>
        <v>6479.41</v>
      </c>
      <c r="N717" s="363">
        <f t="shared" si="103"/>
        <v>0</v>
      </c>
      <c r="O717" s="43" t="s">
        <v>3309</v>
      </c>
      <c r="P717" s="43"/>
      <c r="R717" s="41">
        <f t="shared" si="99"/>
        <v>0</v>
      </c>
      <c r="S717" s="41">
        <f t="shared" si="100"/>
        <v>0</v>
      </c>
      <c r="T717" s="41">
        <f t="shared" si="101"/>
        <v>0</v>
      </c>
      <c r="U717" s="41"/>
      <c r="V717" s="44" t="str">
        <f>IF($P717="High",$S717,IF($P717="Mix",SUMIF('High_Low Voltage Mix Summary'!$B$10:$B$17,$B738,'High_Low Voltage Mix Summary'!$D$10:$D$17),""))</f>
        <v/>
      </c>
      <c r="W717" s="44" t="str">
        <f>IF($P717="Low",$S717,IF($P717="Mix",SUMIF('High_Low Voltage Mix Summary'!$B$10:$B$17,$B738,'High_Low Voltage Mix Summary'!$E$10:$E$17),""))</f>
        <v/>
      </c>
      <c r="X717" s="44" t="str">
        <f>IF($P717="High",$T717,IF($P717="Mix",SUMIF('High_Low Voltage Mix Summary'!$B$10:$B$17,$B738,'High_Low Voltage Mix Summary'!$F$10:$F$17),""))</f>
        <v/>
      </c>
      <c r="Y717" s="44" t="str">
        <f>IF($P717="Low",$T717,IF($P717="Mix",SUMIF('High_Low Voltage Mix Summary'!$B$10:$B$17,$B738,'High_Low Voltage Mix Summary'!$G$10:$G$17),""))</f>
        <v/>
      </c>
      <c r="Z717" s="44" t="str">
        <f>IF(OR($P717="High",$P717="Low"),"",IF($P717="Mix",SUMIF('High_Low Voltage Mix Summary'!$B$10:$B$17,$B738,'High_Low Voltage Mix Summary'!$H$10:$H$17),""))</f>
        <v/>
      </c>
      <c r="AB717" s="49">
        <f>SUMIF('Antelope Bailey Split BA'!$B$7:$B$29,B717,'Antelope Bailey Split BA'!$C$7:$C$29)</f>
        <v>0</v>
      </c>
      <c r="AC717" s="49" t="str">
        <f>IF(AND(AB717=1,'Plant Total by Account'!$H$1=2),"EKWRA","")</f>
        <v/>
      </c>
    </row>
    <row r="718" spans="1:29" x14ac:dyDescent="0.2">
      <c r="A718" s="39" t="s">
        <v>3184</v>
      </c>
      <c r="B718" s="45" t="s">
        <v>824</v>
      </c>
      <c r="C718" s="40" t="s">
        <v>3333</v>
      </c>
      <c r="D718" s="53">
        <v>0</v>
      </c>
      <c r="E718" s="53">
        <v>382.16</v>
      </c>
      <c r="F718" s="53">
        <v>128181.51000000001</v>
      </c>
      <c r="G718" s="578">
        <f t="shared" si="102"/>
        <v>128563.67000000001</v>
      </c>
      <c r="H718" s="41"/>
      <c r="I718" s="41"/>
      <c r="J718" s="41"/>
      <c r="K718" s="41">
        <f t="shared" ref="K718:K781" si="104">D718</f>
        <v>0</v>
      </c>
      <c r="L718" s="41">
        <f t="shared" ref="L718:L781" si="105">E718</f>
        <v>382.16</v>
      </c>
      <c r="M718" s="41">
        <f t="shared" ref="M718:M781" si="106">F718</f>
        <v>128181.51000000001</v>
      </c>
      <c r="N718" s="363">
        <f t="shared" si="103"/>
        <v>0</v>
      </c>
      <c r="O718" s="43" t="s">
        <v>3309</v>
      </c>
      <c r="P718" s="43"/>
      <c r="R718" s="41">
        <f t="shared" si="99"/>
        <v>0</v>
      </c>
      <c r="S718" s="41">
        <f t="shared" si="100"/>
        <v>0</v>
      </c>
      <c r="T718" s="41">
        <f t="shared" si="101"/>
        <v>0</v>
      </c>
      <c r="U718" s="41"/>
      <c r="V718" s="44" t="str">
        <f>IF($P718="High",$S718,IF($P718="Mix",SUMIF('High_Low Voltage Mix Summary'!$B$10:$B$17,$B739,'High_Low Voltage Mix Summary'!$D$10:$D$17),""))</f>
        <v/>
      </c>
      <c r="W718" s="44" t="str">
        <f>IF($P718="Low",$S718,IF($P718="Mix",SUMIF('High_Low Voltage Mix Summary'!$B$10:$B$17,$B739,'High_Low Voltage Mix Summary'!$E$10:$E$17),""))</f>
        <v/>
      </c>
      <c r="X718" s="44" t="str">
        <f>IF($P718="High",$T718,IF($P718="Mix",SUMIF('High_Low Voltage Mix Summary'!$B$10:$B$17,$B739,'High_Low Voltage Mix Summary'!$F$10:$F$17),""))</f>
        <v/>
      </c>
      <c r="Y718" s="44" t="str">
        <f>IF($P718="Low",$T718,IF($P718="Mix",SUMIF('High_Low Voltage Mix Summary'!$B$10:$B$17,$B739,'High_Low Voltage Mix Summary'!$G$10:$G$17),""))</f>
        <v/>
      </c>
      <c r="Z718" s="44" t="str">
        <f>IF(OR($P718="High",$P718="Low"),"",IF($P718="Mix",SUMIF('High_Low Voltage Mix Summary'!$B$10:$B$17,$B739,'High_Low Voltage Mix Summary'!$H$10:$H$17),""))</f>
        <v/>
      </c>
      <c r="AB718" s="49">
        <f>SUMIF('Antelope Bailey Split BA'!$B$7:$B$29,B718,'Antelope Bailey Split BA'!$C$7:$C$29)</f>
        <v>0</v>
      </c>
      <c r="AC718" s="49" t="str">
        <f>IF(AND(AB718=1,'Plant Total by Account'!$H$1=2),"EKWRA","")</f>
        <v/>
      </c>
    </row>
    <row r="719" spans="1:29" x14ac:dyDescent="0.2">
      <c r="A719" s="39" t="s">
        <v>3185</v>
      </c>
      <c r="B719" s="45" t="s">
        <v>825</v>
      </c>
      <c r="C719" s="40" t="s">
        <v>3333</v>
      </c>
      <c r="D719" s="53">
        <v>29661.41</v>
      </c>
      <c r="E719" s="53">
        <v>91065.89</v>
      </c>
      <c r="F719" s="53">
        <v>3359226.8100000005</v>
      </c>
      <c r="G719" s="578">
        <f t="shared" si="102"/>
        <v>3479954.1100000003</v>
      </c>
      <c r="H719" s="41"/>
      <c r="I719" s="41"/>
      <c r="J719" s="41"/>
      <c r="K719" s="41">
        <f t="shared" si="104"/>
        <v>29661.41</v>
      </c>
      <c r="L719" s="41">
        <f t="shared" si="105"/>
        <v>91065.89</v>
      </c>
      <c r="M719" s="41">
        <f t="shared" si="106"/>
        <v>3359226.8100000005</v>
      </c>
      <c r="N719" s="363">
        <f t="shared" si="103"/>
        <v>0</v>
      </c>
      <c r="O719" s="43" t="s">
        <v>3309</v>
      </c>
      <c r="P719" s="43"/>
      <c r="R719" s="41">
        <f t="shared" si="99"/>
        <v>0</v>
      </c>
      <c r="S719" s="41">
        <f t="shared" si="100"/>
        <v>0</v>
      </c>
      <c r="T719" s="41">
        <f t="shared" si="101"/>
        <v>0</v>
      </c>
      <c r="U719" s="41"/>
      <c r="V719" s="44" t="str">
        <f>IF($P719="High",$S719,IF($P719="Mix",SUMIF('High_Low Voltage Mix Summary'!$B$10:$B$17,$B740,'High_Low Voltage Mix Summary'!$D$10:$D$17),""))</f>
        <v/>
      </c>
      <c r="W719" s="44" t="str">
        <f>IF($P719="Low",$S719,IF($P719="Mix",SUMIF('High_Low Voltage Mix Summary'!$B$10:$B$17,$B740,'High_Low Voltage Mix Summary'!$E$10:$E$17),""))</f>
        <v/>
      </c>
      <c r="X719" s="44" t="str">
        <f>IF($P719="High",$T719,IF($P719="Mix",SUMIF('High_Low Voltage Mix Summary'!$B$10:$B$17,$B740,'High_Low Voltage Mix Summary'!$F$10:$F$17),""))</f>
        <v/>
      </c>
      <c r="Y719" s="44" t="str">
        <f>IF($P719="Low",$T719,IF($P719="Mix",SUMIF('High_Low Voltage Mix Summary'!$B$10:$B$17,$B740,'High_Low Voltage Mix Summary'!$G$10:$G$17),""))</f>
        <v/>
      </c>
      <c r="Z719" s="44" t="str">
        <f>IF(OR($P719="High",$P719="Low"),"",IF($P719="Mix",SUMIF('High_Low Voltage Mix Summary'!$B$10:$B$17,$B740,'High_Low Voltage Mix Summary'!$H$10:$H$17),""))</f>
        <v/>
      </c>
      <c r="AB719" s="49">
        <f>SUMIF('Antelope Bailey Split BA'!$B$7:$B$29,B719,'Antelope Bailey Split BA'!$C$7:$C$29)</f>
        <v>0</v>
      </c>
      <c r="AC719" s="49" t="str">
        <f>IF(AND(AB719=1,'Plant Total by Account'!$H$1=2),"EKWRA","")</f>
        <v/>
      </c>
    </row>
    <row r="720" spans="1:29" x14ac:dyDescent="0.2">
      <c r="A720" s="39" t="s">
        <v>3186</v>
      </c>
      <c r="B720" s="45" t="s">
        <v>846</v>
      </c>
      <c r="C720" s="40" t="s">
        <v>3333</v>
      </c>
      <c r="D720" s="53">
        <v>258.71000000000004</v>
      </c>
      <c r="E720" s="53">
        <v>0</v>
      </c>
      <c r="F720" s="53">
        <v>99446.90999999996</v>
      </c>
      <c r="G720" s="578">
        <f t="shared" si="102"/>
        <v>99705.619999999966</v>
      </c>
      <c r="H720" s="41"/>
      <c r="I720" s="41"/>
      <c r="J720" s="41"/>
      <c r="K720" s="41">
        <f t="shared" si="104"/>
        <v>258.71000000000004</v>
      </c>
      <c r="L720" s="41">
        <f t="shared" si="105"/>
        <v>0</v>
      </c>
      <c r="M720" s="41">
        <f t="shared" si="106"/>
        <v>99446.90999999996</v>
      </c>
      <c r="N720" s="363">
        <f t="shared" si="103"/>
        <v>0</v>
      </c>
      <c r="O720" s="43" t="s">
        <v>3309</v>
      </c>
      <c r="P720" s="43"/>
      <c r="R720" s="41">
        <f t="shared" si="99"/>
        <v>0</v>
      </c>
      <c r="S720" s="41">
        <f t="shared" si="100"/>
        <v>0</v>
      </c>
      <c r="T720" s="41">
        <f t="shared" si="101"/>
        <v>0</v>
      </c>
      <c r="U720" s="41"/>
      <c r="V720" s="44" t="str">
        <f>IF($P720="High",$S720,IF($P720="Mix",SUMIF('High_Low Voltage Mix Summary'!$B$10:$B$17,$B741,'High_Low Voltage Mix Summary'!$D$10:$D$17),""))</f>
        <v/>
      </c>
      <c r="W720" s="44" t="str">
        <f>IF($P720="Low",$S720,IF($P720="Mix",SUMIF('High_Low Voltage Mix Summary'!$B$10:$B$17,$B741,'High_Low Voltage Mix Summary'!$E$10:$E$17),""))</f>
        <v/>
      </c>
      <c r="X720" s="44" t="str">
        <f>IF($P720="High",$T720,IF($P720="Mix",SUMIF('High_Low Voltage Mix Summary'!$B$10:$B$17,$B741,'High_Low Voltage Mix Summary'!$F$10:$F$17),""))</f>
        <v/>
      </c>
      <c r="Y720" s="44" t="str">
        <f>IF($P720="Low",$T720,IF($P720="Mix",SUMIF('High_Low Voltage Mix Summary'!$B$10:$B$17,$B741,'High_Low Voltage Mix Summary'!$G$10:$G$17),""))</f>
        <v/>
      </c>
      <c r="Z720" s="44" t="str">
        <f>IF(OR($P720="High",$P720="Low"),"",IF($P720="Mix",SUMIF('High_Low Voltage Mix Summary'!$B$10:$B$17,$B741,'High_Low Voltage Mix Summary'!$H$10:$H$17),""))</f>
        <v/>
      </c>
      <c r="AB720" s="49">
        <f>SUMIF('Antelope Bailey Split BA'!$B$7:$B$29,B720,'Antelope Bailey Split BA'!$C$7:$C$29)</f>
        <v>0</v>
      </c>
      <c r="AC720" s="49" t="str">
        <f>IF(AND(AB720=1,'Plant Total by Account'!$H$1=2),"EKWRA","")</f>
        <v/>
      </c>
    </row>
    <row r="721" spans="1:29" x14ac:dyDescent="0.2">
      <c r="A721" s="39" t="s">
        <v>3187</v>
      </c>
      <c r="B721" s="45" t="s">
        <v>847</v>
      </c>
      <c r="C721" s="40" t="s">
        <v>3333</v>
      </c>
      <c r="D721" s="53">
        <v>10453.810000000001</v>
      </c>
      <c r="E721" s="53">
        <v>28923.78</v>
      </c>
      <c r="F721" s="53">
        <v>289772.90999999997</v>
      </c>
      <c r="G721" s="578">
        <f t="shared" si="102"/>
        <v>329150.5</v>
      </c>
      <c r="H721" s="41"/>
      <c r="I721" s="41"/>
      <c r="J721" s="41"/>
      <c r="K721" s="41">
        <f t="shared" si="104"/>
        <v>10453.810000000001</v>
      </c>
      <c r="L721" s="41">
        <f t="shared" si="105"/>
        <v>28923.78</v>
      </c>
      <c r="M721" s="41">
        <f t="shared" si="106"/>
        <v>289772.90999999997</v>
      </c>
      <c r="N721" s="363">
        <f t="shared" si="103"/>
        <v>0</v>
      </c>
      <c r="O721" s="43" t="s">
        <v>3309</v>
      </c>
      <c r="P721" s="43"/>
      <c r="R721" s="41">
        <f t="shared" si="99"/>
        <v>0</v>
      </c>
      <c r="S721" s="41">
        <f t="shared" si="100"/>
        <v>0</v>
      </c>
      <c r="T721" s="41">
        <f t="shared" si="101"/>
        <v>0</v>
      </c>
      <c r="U721" s="41"/>
      <c r="V721" s="44" t="str">
        <f>IF($P721="High",$S721,IF($P721="Mix",SUMIF('High_Low Voltage Mix Summary'!$B$10:$B$17,$B742,'High_Low Voltage Mix Summary'!$D$10:$D$17),""))</f>
        <v/>
      </c>
      <c r="W721" s="44" t="str">
        <f>IF($P721="Low",$S721,IF($P721="Mix",SUMIF('High_Low Voltage Mix Summary'!$B$10:$B$17,$B742,'High_Low Voltage Mix Summary'!$E$10:$E$17),""))</f>
        <v/>
      </c>
      <c r="X721" s="44" t="str">
        <f>IF($P721="High",$T721,IF($P721="Mix",SUMIF('High_Low Voltage Mix Summary'!$B$10:$B$17,$B742,'High_Low Voltage Mix Summary'!$F$10:$F$17),""))</f>
        <v/>
      </c>
      <c r="Y721" s="44" t="str">
        <f>IF($P721="Low",$T721,IF($P721="Mix",SUMIF('High_Low Voltage Mix Summary'!$B$10:$B$17,$B742,'High_Low Voltage Mix Summary'!$G$10:$G$17),""))</f>
        <v/>
      </c>
      <c r="Z721" s="44" t="str">
        <f>IF(OR($P721="High",$P721="Low"),"",IF($P721="Mix",SUMIF('High_Low Voltage Mix Summary'!$B$10:$B$17,$B742,'High_Low Voltage Mix Summary'!$H$10:$H$17),""))</f>
        <v/>
      </c>
      <c r="AB721" s="49">
        <f>SUMIF('Antelope Bailey Split BA'!$B$7:$B$29,B721,'Antelope Bailey Split BA'!$C$7:$C$29)</f>
        <v>0</v>
      </c>
      <c r="AC721" s="49" t="str">
        <f>IF(AND(AB721=1,'Plant Total by Account'!$H$1=2),"EKWRA","")</f>
        <v/>
      </c>
    </row>
    <row r="722" spans="1:29" x14ac:dyDescent="0.2">
      <c r="A722" s="39" t="s">
        <v>2545</v>
      </c>
      <c r="B722" s="45" t="s">
        <v>848</v>
      </c>
      <c r="C722" s="40" t="s">
        <v>3333</v>
      </c>
      <c r="D722" s="53">
        <v>513493.96</v>
      </c>
      <c r="E722" s="53">
        <v>227824.14</v>
      </c>
      <c r="F722" s="53">
        <v>3759642.5700000003</v>
      </c>
      <c r="G722" s="578">
        <f t="shared" si="102"/>
        <v>4500960.67</v>
      </c>
      <c r="H722" s="41"/>
      <c r="I722" s="41"/>
      <c r="J722" s="41"/>
      <c r="K722" s="41">
        <f t="shared" si="104"/>
        <v>513493.96</v>
      </c>
      <c r="L722" s="41">
        <f t="shared" si="105"/>
        <v>227824.14</v>
      </c>
      <c r="M722" s="41">
        <f t="shared" si="106"/>
        <v>3759642.5700000003</v>
      </c>
      <c r="N722" s="363">
        <f t="shared" si="103"/>
        <v>0</v>
      </c>
      <c r="O722" s="43" t="s">
        <v>3309</v>
      </c>
      <c r="P722" s="43"/>
      <c r="R722" s="41">
        <f t="shared" si="99"/>
        <v>0</v>
      </c>
      <c r="S722" s="41">
        <f t="shared" si="100"/>
        <v>0</v>
      </c>
      <c r="T722" s="41">
        <f t="shared" si="101"/>
        <v>0</v>
      </c>
      <c r="U722" s="41"/>
      <c r="V722" s="44" t="str">
        <f>IF($P722="High",$S722,IF($P722="Mix",SUMIF('High_Low Voltage Mix Summary'!$B$10:$B$17,$B743,'High_Low Voltage Mix Summary'!$D$10:$D$17),""))</f>
        <v/>
      </c>
      <c r="W722" s="44" t="str">
        <f>IF($P722="Low",$S722,IF($P722="Mix",SUMIF('High_Low Voltage Mix Summary'!$B$10:$B$17,$B743,'High_Low Voltage Mix Summary'!$E$10:$E$17),""))</f>
        <v/>
      </c>
      <c r="X722" s="44" t="str">
        <f>IF($P722="High",$T722,IF($P722="Mix",SUMIF('High_Low Voltage Mix Summary'!$B$10:$B$17,$B743,'High_Low Voltage Mix Summary'!$F$10:$F$17),""))</f>
        <v/>
      </c>
      <c r="Y722" s="44" t="str">
        <f>IF($P722="Low",$T722,IF($P722="Mix",SUMIF('High_Low Voltage Mix Summary'!$B$10:$B$17,$B743,'High_Low Voltage Mix Summary'!$G$10:$G$17),""))</f>
        <v/>
      </c>
      <c r="Z722" s="44" t="str">
        <f>IF(OR($P722="High",$P722="Low"),"",IF($P722="Mix",SUMIF('High_Low Voltage Mix Summary'!$B$10:$B$17,$B743,'High_Low Voltage Mix Summary'!$H$10:$H$17),""))</f>
        <v/>
      </c>
      <c r="AB722" s="49">
        <f>SUMIF('Antelope Bailey Split BA'!$B$7:$B$29,B722,'Antelope Bailey Split BA'!$C$7:$C$29)</f>
        <v>0</v>
      </c>
      <c r="AC722" s="49" t="str">
        <f>IF(AND(AB722=1,'Plant Total by Account'!$H$1=2),"EKWRA","")</f>
        <v/>
      </c>
    </row>
    <row r="723" spans="1:29" x14ac:dyDescent="0.2">
      <c r="A723" s="39" t="s">
        <v>3188</v>
      </c>
      <c r="B723" s="45" t="s">
        <v>849</v>
      </c>
      <c r="C723" s="40" t="s">
        <v>3333</v>
      </c>
      <c r="D723" s="53">
        <v>0</v>
      </c>
      <c r="E723" s="53">
        <v>9651.4900000000016</v>
      </c>
      <c r="F723" s="53">
        <v>370859.95000000007</v>
      </c>
      <c r="G723" s="578">
        <f t="shared" si="102"/>
        <v>380511.44000000006</v>
      </c>
      <c r="H723" s="41"/>
      <c r="I723" s="41"/>
      <c r="J723" s="41"/>
      <c r="K723" s="41">
        <f t="shared" si="104"/>
        <v>0</v>
      </c>
      <c r="L723" s="41">
        <f t="shared" si="105"/>
        <v>9651.4900000000016</v>
      </c>
      <c r="M723" s="41">
        <f t="shared" si="106"/>
        <v>370859.95000000007</v>
      </c>
      <c r="N723" s="363">
        <f t="shared" si="103"/>
        <v>0</v>
      </c>
      <c r="O723" s="43" t="s">
        <v>3309</v>
      </c>
      <c r="P723" s="43"/>
      <c r="R723" s="41">
        <f t="shared" si="99"/>
        <v>0</v>
      </c>
      <c r="S723" s="41">
        <f t="shared" si="100"/>
        <v>0</v>
      </c>
      <c r="T723" s="41">
        <f t="shared" si="101"/>
        <v>0</v>
      </c>
      <c r="U723" s="41"/>
      <c r="V723" s="44" t="str">
        <f>IF($P723="High",$S723,IF($P723="Mix",SUMIF('High_Low Voltage Mix Summary'!$B$10:$B$17,$B744,'High_Low Voltage Mix Summary'!$D$10:$D$17),""))</f>
        <v/>
      </c>
      <c r="W723" s="44" t="str">
        <f>IF($P723="Low",$S723,IF($P723="Mix",SUMIF('High_Low Voltage Mix Summary'!$B$10:$B$17,$B744,'High_Low Voltage Mix Summary'!$E$10:$E$17),""))</f>
        <v/>
      </c>
      <c r="X723" s="44" t="str">
        <f>IF($P723="High",$T723,IF($P723="Mix",SUMIF('High_Low Voltage Mix Summary'!$B$10:$B$17,$B744,'High_Low Voltage Mix Summary'!$F$10:$F$17),""))</f>
        <v/>
      </c>
      <c r="Y723" s="44" t="str">
        <f>IF($P723="Low",$T723,IF($P723="Mix",SUMIF('High_Low Voltage Mix Summary'!$B$10:$B$17,$B744,'High_Low Voltage Mix Summary'!$G$10:$G$17),""))</f>
        <v/>
      </c>
      <c r="Z723" s="44" t="str">
        <f>IF(OR($P723="High",$P723="Low"),"",IF($P723="Mix",SUMIF('High_Low Voltage Mix Summary'!$B$10:$B$17,$B744,'High_Low Voltage Mix Summary'!$H$10:$H$17),""))</f>
        <v/>
      </c>
      <c r="AB723" s="49">
        <f>SUMIF('Antelope Bailey Split BA'!$B$7:$B$29,B723,'Antelope Bailey Split BA'!$C$7:$C$29)</f>
        <v>0</v>
      </c>
      <c r="AC723" s="49" t="str">
        <f>IF(AND(AB723=1,'Plant Total by Account'!$H$1=2),"EKWRA","")</f>
        <v/>
      </c>
    </row>
    <row r="724" spans="1:29" x14ac:dyDescent="0.2">
      <c r="A724" s="39" t="s">
        <v>3189</v>
      </c>
      <c r="B724" s="45" t="s">
        <v>850</v>
      </c>
      <c r="C724" s="40" t="s">
        <v>3333</v>
      </c>
      <c r="D724" s="53">
        <v>1367.88</v>
      </c>
      <c r="E724" s="53">
        <v>7639.14</v>
      </c>
      <c r="F724" s="53">
        <v>155316.37</v>
      </c>
      <c r="G724" s="578">
        <f t="shared" si="102"/>
        <v>164323.38999999998</v>
      </c>
      <c r="H724" s="41"/>
      <c r="I724" s="41"/>
      <c r="J724" s="41"/>
      <c r="K724" s="41">
        <f t="shared" si="104"/>
        <v>1367.88</v>
      </c>
      <c r="L724" s="41">
        <f t="shared" si="105"/>
        <v>7639.14</v>
      </c>
      <c r="M724" s="41">
        <f t="shared" si="106"/>
        <v>155316.37</v>
      </c>
      <c r="N724" s="363">
        <f t="shared" si="103"/>
        <v>0</v>
      </c>
      <c r="O724" s="43" t="s">
        <v>3309</v>
      </c>
      <c r="P724" s="43"/>
      <c r="R724" s="41">
        <f t="shared" si="99"/>
        <v>0</v>
      </c>
      <c r="S724" s="41">
        <f t="shared" si="100"/>
        <v>0</v>
      </c>
      <c r="T724" s="41">
        <f t="shared" si="101"/>
        <v>0</v>
      </c>
      <c r="U724" s="41"/>
      <c r="V724" s="44" t="str">
        <f>IF($P724="High",$S724,IF($P724="Mix",SUMIF('High_Low Voltage Mix Summary'!$B$10:$B$17,$B745,'High_Low Voltage Mix Summary'!$D$10:$D$17),""))</f>
        <v/>
      </c>
      <c r="W724" s="44" t="str">
        <f>IF($P724="Low",$S724,IF($P724="Mix",SUMIF('High_Low Voltage Mix Summary'!$B$10:$B$17,$B745,'High_Low Voltage Mix Summary'!$E$10:$E$17),""))</f>
        <v/>
      </c>
      <c r="X724" s="44" t="str">
        <f>IF($P724="High",$T724,IF($P724="Mix",SUMIF('High_Low Voltage Mix Summary'!$B$10:$B$17,$B745,'High_Low Voltage Mix Summary'!$F$10:$F$17),""))</f>
        <v/>
      </c>
      <c r="Y724" s="44" t="str">
        <f>IF($P724="Low",$T724,IF($P724="Mix",SUMIF('High_Low Voltage Mix Summary'!$B$10:$B$17,$B745,'High_Low Voltage Mix Summary'!$G$10:$G$17),""))</f>
        <v/>
      </c>
      <c r="Z724" s="44" t="str">
        <f>IF(OR($P724="High",$P724="Low"),"",IF($P724="Mix",SUMIF('High_Low Voltage Mix Summary'!$B$10:$B$17,$B745,'High_Low Voltage Mix Summary'!$H$10:$H$17),""))</f>
        <v/>
      </c>
      <c r="AB724" s="49">
        <f>SUMIF('Antelope Bailey Split BA'!$B$7:$B$29,B724,'Antelope Bailey Split BA'!$C$7:$C$29)</f>
        <v>0</v>
      </c>
      <c r="AC724" s="49" t="str">
        <f>IF(AND(AB724=1,'Plant Total by Account'!$H$1=2),"EKWRA","")</f>
        <v/>
      </c>
    </row>
    <row r="725" spans="1:29" x14ac:dyDescent="0.2">
      <c r="A725" s="39" t="s">
        <v>3190</v>
      </c>
      <c r="B725" s="45" t="s">
        <v>851</v>
      </c>
      <c r="C725" s="40" t="s">
        <v>3333</v>
      </c>
      <c r="D725" s="53">
        <v>0</v>
      </c>
      <c r="E725" s="53">
        <v>0</v>
      </c>
      <c r="F725" s="53">
        <v>8593.130000000001</v>
      </c>
      <c r="G725" s="578">
        <f t="shared" si="102"/>
        <v>8593.130000000001</v>
      </c>
      <c r="H725" s="41"/>
      <c r="I725" s="41"/>
      <c r="J725" s="41"/>
      <c r="K725" s="41">
        <f t="shared" si="104"/>
        <v>0</v>
      </c>
      <c r="L725" s="41">
        <f t="shared" si="105"/>
        <v>0</v>
      </c>
      <c r="M725" s="41">
        <f t="shared" si="106"/>
        <v>8593.130000000001</v>
      </c>
      <c r="N725" s="363">
        <f t="shared" si="103"/>
        <v>0</v>
      </c>
      <c r="O725" s="43" t="s">
        <v>3309</v>
      </c>
      <c r="P725" s="43"/>
      <c r="R725" s="41">
        <f t="shared" si="99"/>
        <v>0</v>
      </c>
      <c r="S725" s="41">
        <f t="shared" si="100"/>
        <v>0</v>
      </c>
      <c r="T725" s="41">
        <f t="shared" si="101"/>
        <v>0</v>
      </c>
      <c r="U725" s="41"/>
      <c r="V725" s="44" t="str">
        <f>IF($P725="High",$S725,IF($P725="Mix",SUMIF('High_Low Voltage Mix Summary'!$B$10:$B$17,$B746,'High_Low Voltage Mix Summary'!$D$10:$D$17),""))</f>
        <v/>
      </c>
      <c r="W725" s="44" t="str">
        <f>IF($P725="Low",$S725,IF($P725="Mix",SUMIF('High_Low Voltage Mix Summary'!$B$10:$B$17,$B746,'High_Low Voltage Mix Summary'!$E$10:$E$17),""))</f>
        <v/>
      </c>
      <c r="X725" s="44" t="str">
        <f>IF($P725="High",$T725,IF($P725="Mix",SUMIF('High_Low Voltage Mix Summary'!$B$10:$B$17,$B746,'High_Low Voltage Mix Summary'!$F$10:$F$17),""))</f>
        <v/>
      </c>
      <c r="Y725" s="44" t="str">
        <f>IF($P725="Low",$T725,IF($P725="Mix",SUMIF('High_Low Voltage Mix Summary'!$B$10:$B$17,$B746,'High_Low Voltage Mix Summary'!$G$10:$G$17),""))</f>
        <v/>
      </c>
      <c r="Z725" s="44" t="str">
        <f>IF(OR($P725="High",$P725="Low"),"",IF($P725="Mix",SUMIF('High_Low Voltage Mix Summary'!$B$10:$B$17,$B746,'High_Low Voltage Mix Summary'!$H$10:$H$17),""))</f>
        <v/>
      </c>
      <c r="AB725" s="49">
        <f>SUMIF('Antelope Bailey Split BA'!$B$7:$B$29,B725,'Antelope Bailey Split BA'!$C$7:$C$29)</f>
        <v>0</v>
      </c>
      <c r="AC725" s="49" t="str">
        <f>IF(AND(AB725=1,'Plant Total by Account'!$H$1=2),"EKWRA","")</f>
        <v/>
      </c>
    </row>
    <row r="726" spans="1:29" x14ac:dyDescent="0.2">
      <c r="A726" s="39" t="s">
        <v>3191</v>
      </c>
      <c r="B726" s="45" t="s">
        <v>852</v>
      </c>
      <c r="C726" s="40" t="s">
        <v>3333</v>
      </c>
      <c r="D726" s="53">
        <v>1172.53</v>
      </c>
      <c r="E726" s="53">
        <v>4063.78</v>
      </c>
      <c r="F726" s="53">
        <v>43950.09</v>
      </c>
      <c r="G726" s="578">
        <f t="shared" si="102"/>
        <v>49186.399999999994</v>
      </c>
      <c r="H726" s="41"/>
      <c r="I726" s="41"/>
      <c r="J726" s="41"/>
      <c r="K726" s="41">
        <f t="shared" si="104"/>
        <v>1172.53</v>
      </c>
      <c r="L726" s="41">
        <f t="shared" si="105"/>
        <v>4063.78</v>
      </c>
      <c r="M726" s="41">
        <f t="shared" si="106"/>
        <v>43950.09</v>
      </c>
      <c r="N726" s="363">
        <f t="shared" si="103"/>
        <v>0</v>
      </c>
      <c r="O726" s="43" t="s">
        <v>3309</v>
      </c>
      <c r="P726" s="43"/>
      <c r="R726" s="41">
        <f t="shared" si="99"/>
        <v>0</v>
      </c>
      <c r="S726" s="41">
        <f t="shared" si="100"/>
        <v>0</v>
      </c>
      <c r="T726" s="41">
        <f t="shared" si="101"/>
        <v>0</v>
      </c>
      <c r="U726" s="41"/>
      <c r="V726" s="44" t="str">
        <f>IF($P726="High",$S726,IF($P726="Mix",SUMIF('High_Low Voltage Mix Summary'!$B$10:$B$17,$B747,'High_Low Voltage Mix Summary'!$D$10:$D$17),""))</f>
        <v/>
      </c>
      <c r="W726" s="44" t="str">
        <f>IF($P726="Low",$S726,IF($P726="Mix",SUMIF('High_Low Voltage Mix Summary'!$B$10:$B$17,$B747,'High_Low Voltage Mix Summary'!$E$10:$E$17),""))</f>
        <v/>
      </c>
      <c r="X726" s="44" t="str">
        <f>IF($P726="High",$T726,IF($P726="Mix",SUMIF('High_Low Voltage Mix Summary'!$B$10:$B$17,$B747,'High_Low Voltage Mix Summary'!$F$10:$F$17),""))</f>
        <v/>
      </c>
      <c r="Y726" s="44" t="str">
        <f>IF($P726="Low",$T726,IF($P726="Mix",SUMIF('High_Low Voltage Mix Summary'!$B$10:$B$17,$B747,'High_Low Voltage Mix Summary'!$G$10:$G$17),""))</f>
        <v/>
      </c>
      <c r="Z726" s="44" t="str">
        <f>IF(OR($P726="High",$P726="Low"),"",IF($P726="Mix",SUMIF('High_Low Voltage Mix Summary'!$B$10:$B$17,$B747,'High_Low Voltage Mix Summary'!$H$10:$H$17),""))</f>
        <v/>
      </c>
      <c r="AB726" s="49">
        <f>SUMIF('Antelope Bailey Split BA'!$B$7:$B$29,B726,'Antelope Bailey Split BA'!$C$7:$C$29)</f>
        <v>0</v>
      </c>
      <c r="AC726" s="49" t="str">
        <f>IF(AND(AB726=1,'Plant Total by Account'!$H$1=2),"EKWRA","")</f>
        <v/>
      </c>
    </row>
    <row r="727" spans="1:29" x14ac:dyDescent="0.2">
      <c r="A727" s="39" t="s">
        <v>3192</v>
      </c>
      <c r="B727" s="45" t="s">
        <v>853</v>
      </c>
      <c r="C727" s="40" t="s">
        <v>3333</v>
      </c>
      <c r="D727" s="53">
        <v>0</v>
      </c>
      <c r="E727" s="53">
        <v>9831.83</v>
      </c>
      <c r="F727" s="53">
        <v>510521.99000000005</v>
      </c>
      <c r="G727" s="578">
        <f t="shared" si="102"/>
        <v>520353.82000000007</v>
      </c>
      <c r="H727" s="41"/>
      <c r="I727" s="41"/>
      <c r="J727" s="41"/>
      <c r="K727" s="41">
        <f t="shared" si="104"/>
        <v>0</v>
      </c>
      <c r="L727" s="41">
        <f t="shared" si="105"/>
        <v>9831.83</v>
      </c>
      <c r="M727" s="41">
        <f t="shared" si="106"/>
        <v>510521.99000000005</v>
      </c>
      <c r="N727" s="363">
        <f t="shared" si="103"/>
        <v>0</v>
      </c>
      <c r="O727" s="43" t="s">
        <v>3309</v>
      </c>
      <c r="P727" s="43"/>
      <c r="R727" s="41">
        <f t="shared" si="99"/>
        <v>0</v>
      </c>
      <c r="S727" s="41">
        <f t="shared" si="100"/>
        <v>0</v>
      </c>
      <c r="T727" s="41">
        <f t="shared" si="101"/>
        <v>0</v>
      </c>
      <c r="U727" s="41"/>
      <c r="V727" s="44" t="str">
        <f>IF($P727="High",$S727,IF($P727="Mix",SUMIF('High_Low Voltage Mix Summary'!$B$10:$B$17,$B748,'High_Low Voltage Mix Summary'!$D$10:$D$17),""))</f>
        <v/>
      </c>
      <c r="W727" s="44" t="str">
        <f>IF($P727="Low",$S727,IF($P727="Mix",SUMIF('High_Low Voltage Mix Summary'!$B$10:$B$17,$B748,'High_Low Voltage Mix Summary'!$E$10:$E$17),""))</f>
        <v/>
      </c>
      <c r="X727" s="44" t="str">
        <f>IF($P727="High",$T727,IF($P727="Mix",SUMIF('High_Low Voltage Mix Summary'!$B$10:$B$17,$B748,'High_Low Voltage Mix Summary'!$F$10:$F$17),""))</f>
        <v/>
      </c>
      <c r="Y727" s="44" t="str">
        <f>IF($P727="Low",$T727,IF($P727="Mix",SUMIF('High_Low Voltage Mix Summary'!$B$10:$B$17,$B748,'High_Low Voltage Mix Summary'!$G$10:$G$17),""))</f>
        <v/>
      </c>
      <c r="Z727" s="44" t="str">
        <f>IF(OR($P727="High",$P727="Low"),"",IF($P727="Mix",SUMIF('High_Low Voltage Mix Summary'!$B$10:$B$17,$B748,'High_Low Voltage Mix Summary'!$H$10:$H$17),""))</f>
        <v/>
      </c>
      <c r="AB727" s="49">
        <f>SUMIF('Antelope Bailey Split BA'!$B$7:$B$29,B727,'Antelope Bailey Split BA'!$C$7:$C$29)</f>
        <v>0</v>
      </c>
      <c r="AC727" s="49" t="str">
        <f>IF(AND(AB727=1,'Plant Total by Account'!$H$1=2),"EKWRA","")</f>
        <v/>
      </c>
    </row>
    <row r="728" spans="1:29" x14ac:dyDescent="0.2">
      <c r="A728" s="39" t="s">
        <v>3193</v>
      </c>
      <c r="B728" s="45" t="s">
        <v>854</v>
      </c>
      <c r="C728" s="40" t="s">
        <v>3333</v>
      </c>
      <c r="D728" s="53">
        <v>13867.51</v>
      </c>
      <c r="E728" s="53">
        <v>240.77</v>
      </c>
      <c r="F728" s="53">
        <v>195975.21</v>
      </c>
      <c r="G728" s="578">
        <f t="shared" si="102"/>
        <v>210083.49</v>
      </c>
      <c r="H728" s="41"/>
      <c r="I728" s="41"/>
      <c r="J728" s="41"/>
      <c r="K728" s="41">
        <f t="shared" si="104"/>
        <v>13867.51</v>
      </c>
      <c r="L728" s="41">
        <f t="shared" si="105"/>
        <v>240.77</v>
      </c>
      <c r="M728" s="41">
        <f t="shared" si="106"/>
        <v>195975.21</v>
      </c>
      <c r="N728" s="363">
        <f t="shared" si="103"/>
        <v>0</v>
      </c>
      <c r="O728" s="43" t="s">
        <v>3309</v>
      </c>
      <c r="P728" s="43"/>
      <c r="R728" s="41">
        <f t="shared" si="99"/>
        <v>0</v>
      </c>
      <c r="S728" s="41">
        <f t="shared" si="100"/>
        <v>0</v>
      </c>
      <c r="T728" s="41">
        <f t="shared" si="101"/>
        <v>0</v>
      </c>
      <c r="U728" s="41"/>
      <c r="V728" s="44" t="str">
        <f>IF($P728="High",$S728,IF($P728="Mix",SUMIF('High_Low Voltage Mix Summary'!$B$10:$B$17,$B749,'High_Low Voltage Mix Summary'!$D$10:$D$17),""))</f>
        <v/>
      </c>
      <c r="W728" s="44" t="str">
        <f>IF($P728="Low",$S728,IF($P728="Mix",SUMIF('High_Low Voltage Mix Summary'!$B$10:$B$17,$B749,'High_Low Voltage Mix Summary'!$E$10:$E$17),""))</f>
        <v/>
      </c>
      <c r="X728" s="44" t="str">
        <f>IF($P728="High",$T728,IF($P728="Mix",SUMIF('High_Low Voltage Mix Summary'!$B$10:$B$17,$B749,'High_Low Voltage Mix Summary'!$F$10:$F$17),""))</f>
        <v/>
      </c>
      <c r="Y728" s="44" t="str">
        <f>IF($P728="Low",$T728,IF($P728="Mix",SUMIF('High_Low Voltage Mix Summary'!$B$10:$B$17,$B749,'High_Low Voltage Mix Summary'!$G$10:$G$17),""))</f>
        <v/>
      </c>
      <c r="Z728" s="44" t="str">
        <f>IF(OR($P728="High",$P728="Low"),"",IF($P728="Mix",SUMIF('High_Low Voltage Mix Summary'!$B$10:$B$17,$B749,'High_Low Voltage Mix Summary'!$H$10:$H$17),""))</f>
        <v/>
      </c>
      <c r="AB728" s="49">
        <f>SUMIF('Antelope Bailey Split BA'!$B$7:$B$29,B728,'Antelope Bailey Split BA'!$C$7:$C$29)</f>
        <v>0</v>
      </c>
      <c r="AC728" s="49" t="str">
        <f>IF(AND(AB728=1,'Plant Total by Account'!$H$1=2),"EKWRA","")</f>
        <v/>
      </c>
    </row>
    <row r="729" spans="1:29" x14ac:dyDescent="0.2">
      <c r="A729" s="39" t="s">
        <v>3194</v>
      </c>
      <c r="B729" s="45" t="s">
        <v>855</v>
      </c>
      <c r="C729" s="40" t="s">
        <v>3334</v>
      </c>
      <c r="D729" s="53">
        <v>94930.03</v>
      </c>
      <c r="E729" s="53">
        <v>411938.67</v>
      </c>
      <c r="F729" s="53">
        <v>2876766.6800000006</v>
      </c>
      <c r="G729" s="578">
        <f t="shared" si="102"/>
        <v>3383635.3800000008</v>
      </c>
      <c r="H729" s="41"/>
      <c r="I729" s="41"/>
      <c r="J729" s="41"/>
      <c r="K729" s="41">
        <f t="shared" si="104"/>
        <v>94930.03</v>
      </c>
      <c r="L729" s="41">
        <f t="shared" si="105"/>
        <v>411938.67</v>
      </c>
      <c r="M729" s="41">
        <f t="shared" si="106"/>
        <v>2876766.6800000006</v>
      </c>
      <c r="N729" s="363">
        <f t="shared" si="103"/>
        <v>0</v>
      </c>
      <c r="O729" s="43" t="s">
        <v>3309</v>
      </c>
      <c r="P729" s="43"/>
      <c r="R729" s="41">
        <f t="shared" si="99"/>
        <v>0</v>
      </c>
      <c r="S729" s="41">
        <f t="shared" si="100"/>
        <v>0</v>
      </c>
      <c r="T729" s="41">
        <f t="shared" si="101"/>
        <v>0</v>
      </c>
      <c r="U729" s="41"/>
      <c r="V729" s="44" t="str">
        <f>IF($P729="High",$S729,IF($P729="Mix",SUMIF('High_Low Voltage Mix Summary'!$B$10:$B$17,$B750,'High_Low Voltage Mix Summary'!$D$10:$D$17),""))</f>
        <v/>
      </c>
      <c r="W729" s="44" t="str">
        <f>IF($P729="Low",$S729,IF($P729="Mix",SUMIF('High_Low Voltage Mix Summary'!$B$10:$B$17,$B750,'High_Low Voltage Mix Summary'!$E$10:$E$17),""))</f>
        <v/>
      </c>
      <c r="X729" s="44" t="str">
        <f>IF($P729="High",$T729,IF($P729="Mix",SUMIF('High_Low Voltage Mix Summary'!$B$10:$B$17,$B750,'High_Low Voltage Mix Summary'!$F$10:$F$17),""))</f>
        <v/>
      </c>
      <c r="Y729" s="44" t="str">
        <f>IF($P729="Low",$T729,IF($P729="Mix",SUMIF('High_Low Voltage Mix Summary'!$B$10:$B$17,$B750,'High_Low Voltage Mix Summary'!$G$10:$G$17),""))</f>
        <v/>
      </c>
      <c r="Z729" s="44" t="str">
        <f>IF(OR($P729="High",$P729="Low"),"",IF($P729="Mix",SUMIF('High_Low Voltage Mix Summary'!$B$10:$B$17,$B750,'High_Low Voltage Mix Summary'!$H$10:$H$17),""))</f>
        <v/>
      </c>
      <c r="AB729" s="49">
        <f>SUMIF('Antelope Bailey Split BA'!$B$7:$B$29,B729,'Antelope Bailey Split BA'!$C$7:$C$29)</f>
        <v>0</v>
      </c>
      <c r="AC729" s="49" t="str">
        <f>IF(AND(AB729=1,'Plant Total by Account'!$H$1=2),"EKWRA","")</f>
        <v/>
      </c>
    </row>
    <row r="730" spans="1:29" x14ac:dyDescent="0.2">
      <c r="A730" s="39" t="s">
        <v>2546</v>
      </c>
      <c r="B730" s="45" t="s">
        <v>856</v>
      </c>
      <c r="C730" s="40" t="s">
        <v>3333</v>
      </c>
      <c r="D730" s="53">
        <v>2657.77</v>
      </c>
      <c r="E730" s="53">
        <v>243.3</v>
      </c>
      <c r="F730" s="53">
        <v>71314.230000000025</v>
      </c>
      <c r="G730" s="578">
        <f t="shared" si="102"/>
        <v>74215.300000000032</v>
      </c>
      <c r="H730" s="41"/>
      <c r="I730" s="41"/>
      <c r="J730" s="41"/>
      <c r="K730" s="41">
        <f t="shared" si="104"/>
        <v>2657.77</v>
      </c>
      <c r="L730" s="41">
        <f t="shared" si="105"/>
        <v>243.3</v>
      </c>
      <c r="M730" s="41">
        <f t="shared" si="106"/>
        <v>71314.230000000025</v>
      </c>
      <c r="N730" s="363">
        <f t="shared" si="103"/>
        <v>0</v>
      </c>
      <c r="O730" s="43" t="s">
        <v>3309</v>
      </c>
      <c r="P730" s="43"/>
      <c r="R730" s="41">
        <f t="shared" si="99"/>
        <v>0</v>
      </c>
      <c r="S730" s="41">
        <f t="shared" si="100"/>
        <v>0</v>
      </c>
      <c r="T730" s="41">
        <f t="shared" si="101"/>
        <v>0</v>
      </c>
      <c r="U730" s="41"/>
      <c r="V730" s="44" t="str">
        <f>IF($P730="High",$S730,IF($P730="Mix",SUMIF('High_Low Voltage Mix Summary'!$B$10:$B$17,$B751,'High_Low Voltage Mix Summary'!$D$10:$D$17),""))</f>
        <v/>
      </c>
      <c r="W730" s="44" t="str">
        <f>IF($P730="Low",$S730,IF($P730="Mix",SUMIF('High_Low Voltage Mix Summary'!$B$10:$B$17,$B751,'High_Low Voltage Mix Summary'!$E$10:$E$17),""))</f>
        <v/>
      </c>
      <c r="X730" s="44" t="str">
        <f>IF($P730="High",$T730,IF($P730="Mix",SUMIF('High_Low Voltage Mix Summary'!$B$10:$B$17,$B751,'High_Low Voltage Mix Summary'!$F$10:$F$17),""))</f>
        <v/>
      </c>
      <c r="Y730" s="44" t="str">
        <f>IF($P730="Low",$T730,IF($P730="Mix",SUMIF('High_Low Voltage Mix Summary'!$B$10:$B$17,$B751,'High_Low Voltage Mix Summary'!$G$10:$G$17),""))</f>
        <v/>
      </c>
      <c r="Z730" s="44" t="str">
        <f>IF(OR($P730="High",$P730="Low"),"",IF($P730="Mix",SUMIF('High_Low Voltage Mix Summary'!$B$10:$B$17,$B751,'High_Low Voltage Mix Summary'!$H$10:$H$17),""))</f>
        <v/>
      </c>
      <c r="AB730" s="49">
        <f>SUMIF('Antelope Bailey Split BA'!$B$7:$B$29,B730,'Antelope Bailey Split BA'!$C$7:$C$29)</f>
        <v>0</v>
      </c>
      <c r="AC730" s="49" t="str">
        <f>IF(AND(AB730=1,'Plant Total by Account'!$H$1=2),"EKWRA","")</f>
        <v/>
      </c>
    </row>
    <row r="731" spans="1:29" x14ac:dyDescent="0.2">
      <c r="A731" s="39" t="s">
        <v>3195</v>
      </c>
      <c r="B731" s="45" t="s">
        <v>857</v>
      </c>
      <c r="C731" s="40" t="s">
        <v>3333</v>
      </c>
      <c r="D731" s="53">
        <v>0</v>
      </c>
      <c r="E731" s="53">
        <v>0</v>
      </c>
      <c r="F731" s="53">
        <v>46758.450000000004</v>
      </c>
      <c r="G731" s="578">
        <f t="shared" si="102"/>
        <v>46758.450000000004</v>
      </c>
      <c r="H731" s="41"/>
      <c r="I731" s="41"/>
      <c r="J731" s="41"/>
      <c r="K731" s="41">
        <f t="shared" si="104"/>
        <v>0</v>
      </c>
      <c r="L731" s="41">
        <f t="shared" si="105"/>
        <v>0</v>
      </c>
      <c r="M731" s="41">
        <f t="shared" si="106"/>
        <v>46758.450000000004</v>
      </c>
      <c r="N731" s="363">
        <f t="shared" si="103"/>
        <v>0</v>
      </c>
      <c r="O731" s="43" t="s">
        <v>3309</v>
      </c>
      <c r="P731" s="43"/>
      <c r="R731" s="41">
        <f t="shared" si="99"/>
        <v>0</v>
      </c>
      <c r="S731" s="41">
        <f t="shared" si="100"/>
        <v>0</v>
      </c>
      <c r="T731" s="41">
        <f t="shared" si="101"/>
        <v>0</v>
      </c>
      <c r="U731" s="41"/>
      <c r="V731" s="44" t="str">
        <f>IF($P731="High",$S731,IF($P731="Mix",SUMIF('High_Low Voltage Mix Summary'!$B$10:$B$17,$B752,'High_Low Voltage Mix Summary'!$D$10:$D$17),""))</f>
        <v/>
      </c>
      <c r="W731" s="44" t="str">
        <f>IF($P731="Low",$S731,IF($P731="Mix",SUMIF('High_Low Voltage Mix Summary'!$B$10:$B$17,$B752,'High_Low Voltage Mix Summary'!$E$10:$E$17),""))</f>
        <v/>
      </c>
      <c r="X731" s="44" t="str">
        <f>IF($P731="High",$T731,IF($P731="Mix",SUMIF('High_Low Voltage Mix Summary'!$B$10:$B$17,$B752,'High_Low Voltage Mix Summary'!$F$10:$F$17),""))</f>
        <v/>
      </c>
      <c r="Y731" s="44" t="str">
        <f>IF($P731="Low",$T731,IF($P731="Mix",SUMIF('High_Low Voltage Mix Summary'!$B$10:$B$17,$B752,'High_Low Voltage Mix Summary'!$G$10:$G$17),""))</f>
        <v/>
      </c>
      <c r="Z731" s="44" t="str">
        <f>IF(OR($P731="High",$P731="Low"),"",IF($P731="Mix",SUMIF('High_Low Voltage Mix Summary'!$B$10:$B$17,$B752,'High_Low Voltage Mix Summary'!$H$10:$H$17),""))</f>
        <v/>
      </c>
      <c r="AB731" s="49">
        <f>SUMIF('Antelope Bailey Split BA'!$B$7:$B$29,B731,'Antelope Bailey Split BA'!$C$7:$C$29)</f>
        <v>0</v>
      </c>
      <c r="AC731" s="49" t="str">
        <f>IF(AND(AB731=1,'Plant Total by Account'!$H$1=2),"EKWRA","")</f>
        <v/>
      </c>
    </row>
    <row r="732" spans="1:29" x14ac:dyDescent="0.2">
      <c r="A732" s="39" t="s">
        <v>3196</v>
      </c>
      <c r="B732" s="45" t="s">
        <v>858</v>
      </c>
      <c r="C732" s="40" t="s">
        <v>3333</v>
      </c>
      <c r="D732" s="53">
        <v>12401.98</v>
      </c>
      <c r="E732" s="53">
        <v>93477.13</v>
      </c>
      <c r="F732" s="53">
        <v>2200879.1900000004</v>
      </c>
      <c r="G732" s="578">
        <f t="shared" si="102"/>
        <v>2306758.3000000003</v>
      </c>
      <c r="H732" s="41"/>
      <c r="I732" s="41"/>
      <c r="J732" s="41"/>
      <c r="K732" s="41">
        <f t="shared" si="104"/>
        <v>12401.98</v>
      </c>
      <c r="L732" s="41">
        <f t="shared" si="105"/>
        <v>93477.13</v>
      </c>
      <c r="M732" s="41">
        <f t="shared" si="106"/>
        <v>2200879.1900000004</v>
      </c>
      <c r="N732" s="363">
        <f t="shared" si="103"/>
        <v>0</v>
      </c>
      <c r="O732" s="43" t="s">
        <v>3309</v>
      </c>
      <c r="P732" s="43"/>
      <c r="R732" s="41">
        <f t="shared" si="99"/>
        <v>0</v>
      </c>
      <c r="S732" s="41">
        <f t="shared" si="100"/>
        <v>0</v>
      </c>
      <c r="T732" s="41">
        <f t="shared" si="101"/>
        <v>0</v>
      </c>
      <c r="U732" s="41"/>
      <c r="V732" s="44" t="str">
        <f>IF($P732="High",$S732,IF($P732="Mix",SUMIF('High_Low Voltage Mix Summary'!$B$10:$B$17,$B753,'High_Low Voltage Mix Summary'!$D$10:$D$17),""))</f>
        <v/>
      </c>
      <c r="W732" s="44" t="str">
        <f>IF($P732="Low",$S732,IF($P732="Mix",SUMIF('High_Low Voltage Mix Summary'!$B$10:$B$17,$B753,'High_Low Voltage Mix Summary'!$E$10:$E$17),""))</f>
        <v/>
      </c>
      <c r="X732" s="44" t="str">
        <f>IF($P732="High",$T732,IF($P732="Mix",SUMIF('High_Low Voltage Mix Summary'!$B$10:$B$17,$B753,'High_Low Voltage Mix Summary'!$F$10:$F$17),""))</f>
        <v/>
      </c>
      <c r="Y732" s="44" t="str">
        <f>IF($P732="Low",$T732,IF($P732="Mix",SUMIF('High_Low Voltage Mix Summary'!$B$10:$B$17,$B753,'High_Low Voltage Mix Summary'!$G$10:$G$17),""))</f>
        <v/>
      </c>
      <c r="Z732" s="44" t="str">
        <f>IF(OR($P732="High",$P732="Low"),"",IF($P732="Mix",SUMIF('High_Low Voltage Mix Summary'!$B$10:$B$17,$B753,'High_Low Voltage Mix Summary'!$H$10:$H$17),""))</f>
        <v/>
      </c>
      <c r="AB732" s="49">
        <f>SUMIF('Antelope Bailey Split BA'!$B$7:$B$29,B732,'Antelope Bailey Split BA'!$C$7:$C$29)</f>
        <v>0</v>
      </c>
      <c r="AC732" s="49" t="str">
        <f>IF(AND(AB732=1,'Plant Total by Account'!$H$1=2),"EKWRA","")</f>
        <v/>
      </c>
    </row>
    <row r="733" spans="1:29" x14ac:dyDescent="0.2">
      <c r="A733" s="39" t="s">
        <v>3197</v>
      </c>
      <c r="B733" s="45" t="s">
        <v>859</v>
      </c>
      <c r="C733" s="40" t="s">
        <v>3333</v>
      </c>
      <c r="D733" s="53">
        <v>13383.61</v>
      </c>
      <c r="E733" s="53">
        <v>25095.620000000003</v>
      </c>
      <c r="F733" s="53">
        <v>1455029.4400000002</v>
      </c>
      <c r="G733" s="578">
        <f t="shared" si="102"/>
        <v>1493508.6700000002</v>
      </c>
      <c r="H733" s="41"/>
      <c r="I733" s="41"/>
      <c r="J733" s="41"/>
      <c r="K733" s="41">
        <f t="shared" si="104"/>
        <v>13383.61</v>
      </c>
      <c r="L733" s="41">
        <f t="shared" si="105"/>
        <v>25095.620000000003</v>
      </c>
      <c r="M733" s="41">
        <f t="shared" si="106"/>
        <v>1455029.4400000002</v>
      </c>
      <c r="N733" s="363">
        <f t="shared" si="103"/>
        <v>0</v>
      </c>
      <c r="O733" s="43" t="s">
        <v>3309</v>
      </c>
      <c r="P733" s="43"/>
      <c r="R733" s="41">
        <f t="shared" si="99"/>
        <v>0</v>
      </c>
      <c r="S733" s="41">
        <f t="shared" si="100"/>
        <v>0</v>
      </c>
      <c r="T733" s="41">
        <f t="shared" si="101"/>
        <v>0</v>
      </c>
      <c r="U733" s="41"/>
      <c r="V733" s="44" t="str">
        <f>IF($P733="High",$S733,IF($P733="Mix",SUMIF('High_Low Voltage Mix Summary'!$B$10:$B$17,$B754,'High_Low Voltage Mix Summary'!$D$10:$D$17),""))</f>
        <v/>
      </c>
      <c r="W733" s="44" t="str">
        <f>IF($P733="Low",$S733,IF($P733="Mix",SUMIF('High_Low Voltage Mix Summary'!$B$10:$B$17,$B754,'High_Low Voltage Mix Summary'!$E$10:$E$17),""))</f>
        <v/>
      </c>
      <c r="X733" s="44" t="str">
        <f>IF($P733="High",$T733,IF($P733="Mix",SUMIF('High_Low Voltage Mix Summary'!$B$10:$B$17,$B754,'High_Low Voltage Mix Summary'!$F$10:$F$17),""))</f>
        <v/>
      </c>
      <c r="Y733" s="44" t="str">
        <f>IF($P733="Low",$T733,IF($P733="Mix",SUMIF('High_Low Voltage Mix Summary'!$B$10:$B$17,$B754,'High_Low Voltage Mix Summary'!$G$10:$G$17),""))</f>
        <v/>
      </c>
      <c r="Z733" s="44" t="str">
        <f>IF(OR($P733="High",$P733="Low"),"",IF($P733="Mix",SUMIF('High_Low Voltage Mix Summary'!$B$10:$B$17,$B754,'High_Low Voltage Mix Summary'!$H$10:$H$17),""))</f>
        <v/>
      </c>
      <c r="AB733" s="49">
        <f>SUMIF('Antelope Bailey Split BA'!$B$7:$B$29,B733,'Antelope Bailey Split BA'!$C$7:$C$29)</f>
        <v>0</v>
      </c>
      <c r="AC733" s="49" t="str">
        <f>IF(AND(AB733=1,'Plant Total by Account'!$H$1=2),"EKWRA","")</f>
        <v/>
      </c>
    </row>
    <row r="734" spans="1:29" x14ac:dyDescent="0.2">
      <c r="A734" s="39" t="s">
        <v>3198</v>
      </c>
      <c r="B734" s="45" t="s">
        <v>860</v>
      </c>
      <c r="C734" s="40" t="s">
        <v>3333</v>
      </c>
      <c r="D734" s="53">
        <v>72.81</v>
      </c>
      <c r="E734" s="53">
        <v>0</v>
      </c>
      <c r="F734" s="53">
        <v>87437.22</v>
      </c>
      <c r="G734" s="578">
        <f t="shared" si="102"/>
        <v>87510.03</v>
      </c>
      <c r="H734" s="41"/>
      <c r="I734" s="41"/>
      <c r="J734" s="41"/>
      <c r="K734" s="41">
        <f t="shared" si="104"/>
        <v>72.81</v>
      </c>
      <c r="L734" s="41">
        <f t="shared" si="105"/>
        <v>0</v>
      </c>
      <c r="M734" s="41">
        <f t="shared" si="106"/>
        <v>87437.22</v>
      </c>
      <c r="N734" s="363">
        <f t="shared" si="103"/>
        <v>0</v>
      </c>
      <c r="O734" s="43" t="s">
        <v>3309</v>
      </c>
      <c r="P734" s="43"/>
      <c r="R734" s="41">
        <f t="shared" si="99"/>
        <v>0</v>
      </c>
      <c r="S734" s="41">
        <f t="shared" si="100"/>
        <v>0</v>
      </c>
      <c r="T734" s="41">
        <f t="shared" si="101"/>
        <v>0</v>
      </c>
      <c r="U734" s="41"/>
      <c r="V734" s="44" t="str">
        <f>IF($P734="High",$S734,IF($P734="Mix",SUMIF('High_Low Voltage Mix Summary'!$B$10:$B$17,$B755,'High_Low Voltage Mix Summary'!$D$10:$D$17),""))</f>
        <v/>
      </c>
      <c r="W734" s="44" t="str">
        <f>IF($P734="Low",$S734,IF($P734="Mix",SUMIF('High_Low Voltage Mix Summary'!$B$10:$B$17,$B755,'High_Low Voltage Mix Summary'!$E$10:$E$17),""))</f>
        <v/>
      </c>
      <c r="X734" s="44" t="str">
        <f>IF($P734="High",$T734,IF($P734="Mix",SUMIF('High_Low Voltage Mix Summary'!$B$10:$B$17,$B755,'High_Low Voltage Mix Summary'!$F$10:$F$17),""))</f>
        <v/>
      </c>
      <c r="Y734" s="44" t="str">
        <f>IF($P734="Low",$T734,IF($P734="Mix",SUMIF('High_Low Voltage Mix Summary'!$B$10:$B$17,$B755,'High_Low Voltage Mix Summary'!$G$10:$G$17),""))</f>
        <v/>
      </c>
      <c r="Z734" s="44" t="str">
        <f>IF(OR($P734="High",$P734="Low"),"",IF($P734="Mix",SUMIF('High_Low Voltage Mix Summary'!$B$10:$B$17,$B755,'High_Low Voltage Mix Summary'!$H$10:$H$17),""))</f>
        <v/>
      </c>
      <c r="AB734" s="49">
        <f>SUMIF('Antelope Bailey Split BA'!$B$7:$B$29,B734,'Antelope Bailey Split BA'!$C$7:$C$29)</f>
        <v>0</v>
      </c>
      <c r="AC734" s="49" t="str">
        <f>IF(AND(AB734=1,'Plant Total by Account'!$H$1=2),"EKWRA","")</f>
        <v/>
      </c>
    </row>
    <row r="735" spans="1:29" x14ac:dyDescent="0.2">
      <c r="A735" s="39" t="s">
        <v>3199</v>
      </c>
      <c r="B735" s="45" t="s">
        <v>861</v>
      </c>
      <c r="C735" s="40" t="s">
        <v>3333</v>
      </c>
      <c r="D735" s="53">
        <v>853.62</v>
      </c>
      <c r="E735" s="53">
        <v>0</v>
      </c>
      <c r="F735" s="53">
        <v>88461.910000000018</v>
      </c>
      <c r="G735" s="578">
        <f t="shared" si="102"/>
        <v>89315.530000000013</v>
      </c>
      <c r="H735" s="41"/>
      <c r="I735" s="41"/>
      <c r="J735" s="41"/>
      <c r="K735" s="41">
        <f t="shared" si="104"/>
        <v>853.62</v>
      </c>
      <c r="L735" s="41">
        <f t="shared" si="105"/>
        <v>0</v>
      </c>
      <c r="M735" s="41">
        <f t="shared" si="106"/>
        <v>88461.910000000018</v>
      </c>
      <c r="N735" s="363">
        <f t="shared" si="103"/>
        <v>0</v>
      </c>
      <c r="O735" s="43" t="s">
        <v>3309</v>
      </c>
      <c r="P735" s="43"/>
      <c r="R735" s="41">
        <f t="shared" si="99"/>
        <v>0</v>
      </c>
      <c r="S735" s="41">
        <f t="shared" si="100"/>
        <v>0</v>
      </c>
      <c r="T735" s="41">
        <f t="shared" si="101"/>
        <v>0</v>
      </c>
      <c r="U735" s="41"/>
      <c r="V735" s="44" t="str">
        <f>IF($P735="High",$S735,IF($P735="Mix",SUMIF('High_Low Voltage Mix Summary'!$B$10:$B$17,$B757,'High_Low Voltage Mix Summary'!$D$10:$D$17),""))</f>
        <v/>
      </c>
      <c r="W735" s="44" t="str">
        <f>IF($P735="Low",$S735,IF($P735="Mix",SUMIF('High_Low Voltage Mix Summary'!$B$10:$B$17,$B757,'High_Low Voltage Mix Summary'!$E$10:$E$17),""))</f>
        <v/>
      </c>
      <c r="X735" s="44" t="str">
        <f>IF($P735="High",$T735,IF($P735="Mix",SUMIF('High_Low Voltage Mix Summary'!$B$10:$B$17,$B757,'High_Low Voltage Mix Summary'!$F$10:$F$17),""))</f>
        <v/>
      </c>
      <c r="Y735" s="44" t="str">
        <f>IF($P735="Low",$T735,IF($P735="Mix",SUMIF('High_Low Voltage Mix Summary'!$B$10:$B$17,$B757,'High_Low Voltage Mix Summary'!$G$10:$G$17),""))</f>
        <v/>
      </c>
      <c r="Z735" s="44" t="str">
        <f>IF(OR($P735="High",$P735="Low"),"",IF($P735="Mix",SUMIF('High_Low Voltage Mix Summary'!$B$10:$B$17,$B757,'High_Low Voltage Mix Summary'!$H$10:$H$17),""))</f>
        <v/>
      </c>
      <c r="AB735" s="49">
        <f>SUMIF('Antelope Bailey Split BA'!$B$7:$B$29,B735,'Antelope Bailey Split BA'!$C$7:$C$29)</f>
        <v>0</v>
      </c>
      <c r="AC735" s="49" t="str">
        <f>IF(AND(AB735=1,'Plant Total by Account'!$H$1=2),"EKWRA","")</f>
        <v/>
      </c>
    </row>
    <row r="736" spans="1:29" x14ac:dyDescent="0.2">
      <c r="A736" s="39" t="s">
        <v>3200</v>
      </c>
      <c r="B736" s="45" t="s">
        <v>862</v>
      </c>
      <c r="C736" s="40" t="s">
        <v>3333</v>
      </c>
      <c r="D736" s="53">
        <v>9916.23</v>
      </c>
      <c r="E736" s="53">
        <v>19747.57</v>
      </c>
      <c r="F736" s="53">
        <v>319480.74</v>
      </c>
      <c r="G736" s="578">
        <f t="shared" si="102"/>
        <v>349144.54</v>
      </c>
      <c r="H736" s="41"/>
      <c r="I736" s="41"/>
      <c r="J736" s="41"/>
      <c r="K736" s="41">
        <f t="shared" si="104"/>
        <v>9916.23</v>
      </c>
      <c r="L736" s="41">
        <f t="shared" si="105"/>
        <v>19747.57</v>
      </c>
      <c r="M736" s="41">
        <f t="shared" si="106"/>
        <v>319480.74</v>
      </c>
      <c r="N736" s="363">
        <f t="shared" si="103"/>
        <v>0</v>
      </c>
      <c r="O736" s="43" t="s">
        <v>3309</v>
      </c>
      <c r="P736" s="43"/>
      <c r="R736" s="41">
        <f t="shared" si="99"/>
        <v>0</v>
      </c>
      <c r="S736" s="41">
        <f t="shared" si="100"/>
        <v>0</v>
      </c>
      <c r="T736" s="41">
        <f t="shared" si="101"/>
        <v>0</v>
      </c>
      <c r="U736" s="41"/>
      <c r="V736" s="44" t="str">
        <f>IF($P736="High",$S736,IF($P736="Mix",SUMIF('High_Low Voltage Mix Summary'!$B$10:$B$17,$B758,'High_Low Voltage Mix Summary'!$D$10:$D$17),""))</f>
        <v/>
      </c>
      <c r="W736" s="44" t="str">
        <f>IF($P736="Low",$S736,IF($P736="Mix",SUMIF('High_Low Voltage Mix Summary'!$B$10:$B$17,$B758,'High_Low Voltage Mix Summary'!$E$10:$E$17),""))</f>
        <v/>
      </c>
      <c r="X736" s="44" t="str">
        <f>IF($P736="High",$T736,IF($P736="Mix",SUMIF('High_Low Voltage Mix Summary'!$B$10:$B$17,$B758,'High_Low Voltage Mix Summary'!$F$10:$F$17),""))</f>
        <v/>
      </c>
      <c r="Y736" s="44" t="str">
        <f>IF($P736="Low",$T736,IF($P736="Mix",SUMIF('High_Low Voltage Mix Summary'!$B$10:$B$17,$B758,'High_Low Voltage Mix Summary'!$G$10:$G$17),""))</f>
        <v/>
      </c>
      <c r="Z736" s="44" t="str">
        <f>IF(OR($P736="High",$P736="Low"),"",IF($P736="Mix",SUMIF('High_Low Voltage Mix Summary'!$B$10:$B$17,$B758,'High_Low Voltage Mix Summary'!$H$10:$H$17),""))</f>
        <v/>
      </c>
      <c r="AB736" s="49">
        <f>SUMIF('Antelope Bailey Split BA'!$B$7:$B$29,B736,'Antelope Bailey Split BA'!$C$7:$C$29)</f>
        <v>0</v>
      </c>
      <c r="AC736" s="49" t="str">
        <f>IF(AND(AB736=1,'Plant Total by Account'!$H$1=2),"EKWRA","")</f>
        <v/>
      </c>
    </row>
    <row r="737" spans="1:29" x14ac:dyDescent="0.2">
      <c r="A737" s="39" t="s">
        <v>2547</v>
      </c>
      <c r="B737" s="45" t="s">
        <v>863</v>
      </c>
      <c r="C737" s="40" t="s">
        <v>3333</v>
      </c>
      <c r="D737" s="53">
        <v>277.31</v>
      </c>
      <c r="E737" s="53">
        <v>10192.93</v>
      </c>
      <c r="F737" s="53">
        <v>1729963.4</v>
      </c>
      <c r="G737" s="578">
        <f t="shared" si="102"/>
        <v>1740433.64</v>
      </c>
      <c r="H737" s="41"/>
      <c r="I737" s="41"/>
      <c r="J737" s="41"/>
      <c r="K737" s="41">
        <f t="shared" si="104"/>
        <v>277.31</v>
      </c>
      <c r="L737" s="41">
        <f t="shared" si="105"/>
        <v>10192.93</v>
      </c>
      <c r="M737" s="41">
        <f t="shared" si="106"/>
        <v>1729963.4</v>
      </c>
      <c r="N737" s="363">
        <f t="shared" si="103"/>
        <v>0</v>
      </c>
      <c r="O737" s="43" t="s">
        <v>3309</v>
      </c>
      <c r="P737" s="43"/>
      <c r="R737" s="41">
        <f t="shared" si="99"/>
        <v>0</v>
      </c>
      <c r="S737" s="41">
        <f t="shared" si="100"/>
        <v>0</v>
      </c>
      <c r="T737" s="41">
        <f t="shared" si="101"/>
        <v>0</v>
      </c>
      <c r="U737" s="41"/>
      <c r="V737" s="44" t="str">
        <f>IF($P737="High",$S737,IF($P737="Mix",SUMIF('High_Low Voltage Mix Summary'!$B$10:$B$17,$B759,'High_Low Voltage Mix Summary'!$D$10:$D$17),""))</f>
        <v/>
      </c>
      <c r="W737" s="44" t="str">
        <f>IF($P737="Low",$S737,IF($P737="Mix",SUMIF('High_Low Voltage Mix Summary'!$B$10:$B$17,$B759,'High_Low Voltage Mix Summary'!$E$10:$E$17),""))</f>
        <v/>
      </c>
      <c r="X737" s="44" t="str">
        <f>IF($P737="High",$T737,IF($P737="Mix",SUMIF('High_Low Voltage Mix Summary'!$B$10:$B$17,$B759,'High_Low Voltage Mix Summary'!$F$10:$F$17),""))</f>
        <v/>
      </c>
      <c r="Y737" s="44" t="str">
        <f>IF($P737="Low",$T737,IF($P737="Mix",SUMIF('High_Low Voltage Mix Summary'!$B$10:$B$17,$B759,'High_Low Voltage Mix Summary'!$G$10:$G$17),""))</f>
        <v/>
      </c>
      <c r="Z737" s="44" t="str">
        <f>IF(OR($P737="High",$P737="Low"),"",IF($P737="Mix",SUMIF('High_Low Voltage Mix Summary'!$B$10:$B$17,$B759,'High_Low Voltage Mix Summary'!$H$10:$H$17),""))</f>
        <v/>
      </c>
      <c r="AB737" s="49">
        <f>SUMIF('Antelope Bailey Split BA'!$B$7:$B$29,B737,'Antelope Bailey Split BA'!$C$7:$C$29)</f>
        <v>0</v>
      </c>
      <c r="AC737" s="49" t="str">
        <f>IF(AND(AB737=1,'Plant Total by Account'!$H$1=2),"EKWRA","")</f>
        <v/>
      </c>
    </row>
    <row r="738" spans="1:29" x14ac:dyDescent="0.2">
      <c r="A738" s="39" t="s">
        <v>3201</v>
      </c>
      <c r="B738" s="45" t="s">
        <v>864</v>
      </c>
      <c r="C738" s="40" t="s">
        <v>3333</v>
      </c>
      <c r="D738" s="53">
        <v>2925.23</v>
      </c>
      <c r="E738" s="53">
        <v>37972.33</v>
      </c>
      <c r="F738" s="53">
        <v>1839318.7399999998</v>
      </c>
      <c r="G738" s="578">
        <f t="shared" si="102"/>
        <v>1880216.2999999998</v>
      </c>
      <c r="H738" s="41"/>
      <c r="I738" s="41"/>
      <c r="J738" s="41"/>
      <c r="K738" s="41">
        <f t="shared" si="104"/>
        <v>2925.23</v>
      </c>
      <c r="L738" s="41">
        <f t="shared" si="105"/>
        <v>37972.33</v>
      </c>
      <c r="M738" s="41">
        <f t="shared" si="106"/>
        <v>1839318.7399999998</v>
      </c>
      <c r="N738" s="363">
        <f t="shared" si="103"/>
        <v>0</v>
      </c>
      <c r="O738" s="43" t="s">
        <v>3309</v>
      </c>
      <c r="P738" s="43"/>
      <c r="R738" s="41">
        <f t="shared" si="99"/>
        <v>0</v>
      </c>
      <c r="S738" s="41">
        <f t="shared" si="100"/>
        <v>0</v>
      </c>
      <c r="T738" s="41">
        <f t="shared" si="101"/>
        <v>0</v>
      </c>
      <c r="U738" s="41"/>
      <c r="V738" s="44" t="str">
        <f>IF($P738="High",$S738,IF($P738="Mix",SUMIF('High_Low Voltage Mix Summary'!$B$10:$B$17,$B760,'High_Low Voltage Mix Summary'!$D$10:$D$17),""))</f>
        <v/>
      </c>
      <c r="W738" s="44" t="str">
        <f>IF($P738="Low",$S738,IF($P738="Mix",SUMIF('High_Low Voltage Mix Summary'!$B$10:$B$17,$B760,'High_Low Voltage Mix Summary'!$E$10:$E$17),""))</f>
        <v/>
      </c>
      <c r="X738" s="44" t="str">
        <f>IF($P738="High",$T738,IF($P738="Mix",SUMIF('High_Low Voltage Mix Summary'!$B$10:$B$17,$B760,'High_Low Voltage Mix Summary'!$F$10:$F$17),""))</f>
        <v/>
      </c>
      <c r="Y738" s="44" t="str">
        <f>IF($P738="Low",$T738,IF($P738="Mix",SUMIF('High_Low Voltage Mix Summary'!$B$10:$B$17,$B760,'High_Low Voltage Mix Summary'!$G$10:$G$17),""))</f>
        <v/>
      </c>
      <c r="Z738" s="44" t="str">
        <f>IF(OR($P738="High",$P738="Low"),"",IF($P738="Mix",SUMIF('High_Low Voltage Mix Summary'!$B$10:$B$17,$B760,'High_Low Voltage Mix Summary'!$H$10:$H$17),""))</f>
        <v/>
      </c>
      <c r="AB738" s="49">
        <f>SUMIF('Antelope Bailey Split BA'!$B$7:$B$29,B738,'Antelope Bailey Split BA'!$C$7:$C$29)</f>
        <v>0</v>
      </c>
      <c r="AC738" s="49" t="str">
        <f>IF(AND(AB738=1,'Plant Total by Account'!$H$1=2),"EKWRA","")</f>
        <v/>
      </c>
    </row>
    <row r="739" spans="1:29" x14ac:dyDescent="0.2">
      <c r="A739" s="39" t="s">
        <v>2548</v>
      </c>
      <c r="B739" s="45" t="s">
        <v>865</v>
      </c>
      <c r="C739" s="40" t="s">
        <v>3333</v>
      </c>
      <c r="D739" s="53">
        <v>286.16000000000003</v>
      </c>
      <c r="E739" s="53">
        <v>2667.94</v>
      </c>
      <c r="F739" s="53">
        <v>235191.14</v>
      </c>
      <c r="G739" s="578">
        <f t="shared" si="102"/>
        <v>238145.24000000002</v>
      </c>
      <c r="H739" s="41"/>
      <c r="I739" s="41"/>
      <c r="J739" s="41"/>
      <c r="K739" s="41">
        <f t="shared" si="104"/>
        <v>286.16000000000003</v>
      </c>
      <c r="L739" s="41">
        <f t="shared" si="105"/>
        <v>2667.94</v>
      </c>
      <c r="M739" s="41">
        <f t="shared" si="106"/>
        <v>235191.14</v>
      </c>
      <c r="N739" s="363">
        <f t="shared" si="103"/>
        <v>0</v>
      </c>
      <c r="O739" s="43" t="s">
        <v>3309</v>
      </c>
      <c r="P739" s="43"/>
      <c r="R739" s="41">
        <f t="shared" si="99"/>
        <v>0</v>
      </c>
      <c r="S739" s="41">
        <f t="shared" si="100"/>
        <v>0</v>
      </c>
      <c r="T739" s="41">
        <f t="shared" si="101"/>
        <v>0</v>
      </c>
      <c r="U739" s="41"/>
      <c r="V739" s="44" t="str">
        <f>IF($P739="High",$S739,IF($P739="Mix",SUMIF('High_Low Voltage Mix Summary'!$B$10:$B$17,$B761,'High_Low Voltage Mix Summary'!$D$10:$D$17),""))</f>
        <v/>
      </c>
      <c r="W739" s="44" t="str">
        <f>IF($P739="Low",$S739,IF($P739="Mix",SUMIF('High_Low Voltage Mix Summary'!$B$10:$B$17,$B761,'High_Low Voltage Mix Summary'!$E$10:$E$17),""))</f>
        <v/>
      </c>
      <c r="X739" s="44" t="str">
        <f>IF($P739="High",$T739,IF($P739="Mix",SUMIF('High_Low Voltage Mix Summary'!$B$10:$B$17,$B761,'High_Low Voltage Mix Summary'!$F$10:$F$17),""))</f>
        <v/>
      </c>
      <c r="Y739" s="44" t="str">
        <f>IF($P739="Low",$T739,IF($P739="Mix",SUMIF('High_Low Voltage Mix Summary'!$B$10:$B$17,$B761,'High_Low Voltage Mix Summary'!$G$10:$G$17),""))</f>
        <v/>
      </c>
      <c r="Z739" s="44" t="str">
        <f>IF(OR($P739="High",$P739="Low"),"",IF($P739="Mix",SUMIF('High_Low Voltage Mix Summary'!$B$10:$B$17,$B761,'High_Low Voltage Mix Summary'!$H$10:$H$17),""))</f>
        <v/>
      </c>
      <c r="AB739" s="49">
        <f>SUMIF('Antelope Bailey Split BA'!$B$7:$B$29,B739,'Antelope Bailey Split BA'!$C$7:$C$29)</f>
        <v>0</v>
      </c>
      <c r="AC739" s="49" t="str">
        <f>IF(AND(AB739=1,'Plant Total by Account'!$H$1=2),"EKWRA","")</f>
        <v/>
      </c>
    </row>
    <row r="740" spans="1:29" x14ac:dyDescent="0.2">
      <c r="A740" s="39" t="s">
        <v>2549</v>
      </c>
      <c r="B740" s="45" t="s">
        <v>866</v>
      </c>
      <c r="C740" s="40" t="s">
        <v>3333</v>
      </c>
      <c r="D740" s="53">
        <v>833.67000000000007</v>
      </c>
      <c r="E740" s="53">
        <v>42485.64</v>
      </c>
      <c r="F740" s="53">
        <v>762571.6</v>
      </c>
      <c r="G740" s="578">
        <f t="shared" si="102"/>
        <v>805890.90999999992</v>
      </c>
      <c r="H740" s="41"/>
      <c r="I740" s="41"/>
      <c r="J740" s="41"/>
      <c r="K740" s="41">
        <f t="shared" si="104"/>
        <v>833.67000000000007</v>
      </c>
      <c r="L740" s="41">
        <f t="shared" si="105"/>
        <v>42485.64</v>
      </c>
      <c r="M740" s="41">
        <f t="shared" si="106"/>
        <v>762571.6</v>
      </c>
      <c r="N740" s="363">
        <f t="shared" si="103"/>
        <v>0</v>
      </c>
      <c r="O740" s="43" t="s">
        <v>3309</v>
      </c>
      <c r="P740" s="43"/>
      <c r="R740" s="41">
        <f t="shared" si="99"/>
        <v>0</v>
      </c>
      <c r="S740" s="41">
        <f t="shared" si="100"/>
        <v>0</v>
      </c>
      <c r="T740" s="41">
        <f t="shared" si="101"/>
        <v>0</v>
      </c>
      <c r="U740" s="41"/>
      <c r="V740" s="44" t="str">
        <f>IF($P740="High",$S740,IF($P740="Mix",SUMIF('High_Low Voltage Mix Summary'!$B$10:$B$17,$B762,'High_Low Voltage Mix Summary'!$D$10:$D$17),""))</f>
        <v/>
      </c>
      <c r="W740" s="44" t="str">
        <f>IF($P740="Low",$S740,IF($P740="Mix",SUMIF('High_Low Voltage Mix Summary'!$B$10:$B$17,$B762,'High_Low Voltage Mix Summary'!$E$10:$E$17),""))</f>
        <v/>
      </c>
      <c r="X740" s="44" t="str">
        <f>IF($P740="High",$T740,IF($P740="Mix",SUMIF('High_Low Voltage Mix Summary'!$B$10:$B$17,$B762,'High_Low Voltage Mix Summary'!$F$10:$F$17),""))</f>
        <v/>
      </c>
      <c r="Y740" s="44" t="str">
        <f>IF($P740="Low",$T740,IF($P740="Mix",SUMIF('High_Low Voltage Mix Summary'!$B$10:$B$17,$B762,'High_Low Voltage Mix Summary'!$G$10:$G$17),""))</f>
        <v/>
      </c>
      <c r="Z740" s="44" t="str">
        <f>IF(OR($P740="High",$P740="Low"),"",IF($P740="Mix",SUMIF('High_Low Voltage Mix Summary'!$B$10:$B$17,$B762,'High_Low Voltage Mix Summary'!$H$10:$H$17),""))</f>
        <v/>
      </c>
      <c r="AB740" s="49">
        <f>SUMIF('Antelope Bailey Split BA'!$B$7:$B$29,B740,'Antelope Bailey Split BA'!$C$7:$C$29)</f>
        <v>0</v>
      </c>
      <c r="AC740" s="49" t="str">
        <f>IF(AND(AB740=1,'Plant Total by Account'!$H$1=2),"EKWRA","")</f>
        <v/>
      </c>
    </row>
    <row r="741" spans="1:29" x14ac:dyDescent="0.2">
      <c r="A741" s="39" t="s">
        <v>3202</v>
      </c>
      <c r="B741" s="45" t="s">
        <v>867</v>
      </c>
      <c r="C741" s="40" t="s">
        <v>3333</v>
      </c>
      <c r="D741" s="53">
        <v>673.69</v>
      </c>
      <c r="E741" s="53">
        <v>0</v>
      </c>
      <c r="F741" s="53">
        <v>109422.81999999999</v>
      </c>
      <c r="G741" s="578">
        <f t="shared" si="102"/>
        <v>110096.51</v>
      </c>
      <c r="H741" s="41"/>
      <c r="I741" s="41"/>
      <c r="J741" s="41"/>
      <c r="K741" s="41">
        <f t="shared" si="104"/>
        <v>673.69</v>
      </c>
      <c r="L741" s="41">
        <f t="shared" si="105"/>
        <v>0</v>
      </c>
      <c r="M741" s="41">
        <f t="shared" si="106"/>
        <v>109422.81999999999</v>
      </c>
      <c r="N741" s="363">
        <f t="shared" si="103"/>
        <v>0</v>
      </c>
      <c r="O741" s="43" t="s">
        <v>3309</v>
      </c>
      <c r="P741" s="43"/>
      <c r="R741" s="41">
        <f t="shared" si="99"/>
        <v>0</v>
      </c>
      <c r="S741" s="41">
        <f t="shared" si="100"/>
        <v>0</v>
      </c>
      <c r="T741" s="41">
        <f t="shared" si="101"/>
        <v>0</v>
      </c>
      <c r="U741" s="41"/>
      <c r="V741" s="44" t="str">
        <f>IF($P741="High",$S741,IF($P741="Mix",SUMIF('High_Low Voltage Mix Summary'!$B$10:$B$17,$B763,'High_Low Voltage Mix Summary'!$D$10:$D$17),""))</f>
        <v/>
      </c>
      <c r="W741" s="44" t="str">
        <f>IF($P741="Low",$S741,IF($P741="Mix",SUMIF('High_Low Voltage Mix Summary'!$B$10:$B$17,$B763,'High_Low Voltage Mix Summary'!$E$10:$E$17),""))</f>
        <v/>
      </c>
      <c r="X741" s="44" t="str">
        <f>IF($P741="High",$T741,IF($P741="Mix",SUMIF('High_Low Voltage Mix Summary'!$B$10:$B$17,$B763,'High_Low Voltage Mix Summary'!$F$10:$F$17),""))</f>
        <v/>
      </c>
      <c r="Y741" s="44" t="str">
        <f>IF($P741="Low",$T741,IF($P741="Mix",SUMIF('High_Low Voltage Mix Summary'!$B$10:$B$17,$B763,'High_Low Voltage Mix Summary'!$G$10:$G$17),""))</f>
        <v/>
      </c>
      <c r="Z741" s="44" t="str">
        <f>IF(OR($P741="High",$P741="Low"),"",IF($P741="Mix",SUMIF('High_Low Voltage Mix Summary'!$B$10:$B$17,$B763,'High_Low Voltage Mix Summary'!$H$10:$H$17),""))</f>
        <v/>
      </c>
      <c r="AB741" s="49">
        <f>SUMIF('Antelope Bailey Split BA'!$B$7:$B$29,B741,'Antelope Bailey Split BA'!$C$7:$C$29)</f>
        <v>0</v>
      </c>
      <c r="AC741" s="49" t="str">
        <f>IF(AND(AB741=1,'Plant Total by Account'!$H$1=2),"EKWRA","")</f>
        <v/>
      </c>
    </row>
    <row r="742" spans="1:29" x14ac:dyDescent="0.2">
      <c r="A742" s="39" t="s">
        <v>3203</v>
      </c>
      <c r="B742" s="45" t="s">
        <v>868</v>
      </c>
      <c r="C742" s="40" t="s">
        <v>3333</v>
      </c>
      <c r="D742" s="53">
        <v>27719.14</v>
      </c>
      <c r="E742" s="53">
        <v>311746.73000000004</v>
      </c>
      <c r="F742" s="53">
        <v>5894334.8499999996</v>
      </c>
      <c r="G742" s="578">
        <f t="shared" si="102"/>
        <v>6233800.7199999997</v>
      </c>
      <c r="H742" s="41"/>
      <c r="I742" s="41"/>
      <c r="J742" s="41"/>
      <c r="K742" s="41">
        <f t="shared" si="104"/>
        <v>27719.14</v>
      </c>
      <c r="L742" s="41">
        <f t="shared" si="105"/>
        <v>311746.73000000004</v>
      </c>
      <c r="M742" s="41">
        <f t="shared" si="106"/>
        <v>5894334.8499999996</v>
      </c>
      <c r="N742" s="363">
        <f t="shared" si="103"/>
        <v>0</v>
      </c>
      <c r="O742" s="43" t="s">
        <v>3309</v>
      </c>
      <c r="P742" s="43"/>
      <c r="R742" s="41">
        <f t="shared" si="99"/>
        <v>0</v>
      </c>
      <c r="S742" s="41">
        <f t="shared" si="100"/>
        <v>0</v>
      </c>
      <c r="T742" s="41">
        <f t="shared" si="101"/>
        <v>0</v>
      </c>
      <c r="U742" s="41"/>
      <c r="V742" s="44" t="str">
        <f>IF($P742="High",$S742,IF($P742="Mix",SUMIF('High_Low Voltage Mix Summary'!$B$10:$B$17,$B764,'High_Low Voltage Mix Summary'!$D$10:$D$17),""))</f>
        <v/>
      </c>
      <c r="W742" s="44" t="str">
        <f>IF($P742="Low",$S742,IF($P742="Mix",SUMIF('High_Low Voltage Mix Summary'!$B$10:$B$17,$B764,'High_Low Voltage Mix Summary'!$E$10:$E$17),""))</f>
        <v/>
      </c>
      <c r="X742" s="44" t="str">
        <f>IF($P742="High",$T742,IF($P742="Mix",SUMIF('High_Low Voltage Mix Summary'!$B$10:$B$17,$B764,'High_Low Voltage Mix Summary'!$F$10:$F$17),""))</f>
        <v/>
      </c>
      <c r="Y742" s="44" t="str">
        <f>IF($P742="Low",$T742,IF($P742="Mix",SUMIF('High_Low Voltage Mix Summary'!$B$10:$B$17,$B764,'High_Low Voltage Mix Summary'!$G$10:$G$17),""))</f>
        <v/>
      </c>
      <c r="Z742" s="44" t="str">
        <f>IF(OR($P742="High",$P742="Low"),"",IF($P742="Mix",SUMIF('High_Low Voltage Mix Summary'!$B$10:$B$17,$B764,'High_Low Voltage Mix Summary'!$H$10:$H$17),""))</f>
        <v/>
      </c>
      <c r="AB742" s="49">
        <f>SUMIF('Antelope Bailey Split BA'!$B$7:$B$29,B742,'Antelope Bailey Split BA'!$C$7:$C$29)</f>
        <v>0</v>
      </c>
      <c r="AC742" s="49" t="str">
        <f>IF(AND(AB742=1,'Plant Total by Account'!$H$1=2),"EKWRA","")</f>
        <v/>
      </c>
    </row>
    <row r="743" spans="1:29" x14ac:dyDescent="0.2">
      <c r="A743" s="39" t="s">
        <v>3204</v>
      </c>
      <c r="B743" s="45" t="s">
        <v>869</v>
      </c>
      <c r="C743" s="40" t="s">
        <v>3333</v>
      </c>
      <c r="D743" s="53">
        <v>320.32</v>
      </c>
      <c r="E743" s="53">
        <v>49102.82</v>
      </c>
      <c r="F743" s="53">
        <v>205142.93</v>
      </c>
      <c r="G743" s="578">
        <f t="shared" si="102"/>
        <v>254566.07</v>
      </c>
      <c r="H743" s="41"/>
      <c r="I743" s="41"/>
      <c r="J743" s="41"/>
      <c r="K743" s="41">
        <f t="shared" si="104"/>
        <v>320.32</v>
      </c>
      <c r="L743" s="41">
        <f t="shared" si="105"/>
        <v>49102.82</v>
      </c>
      <c r="M743" s="41">
        <f t="shared" si="106"/>
        <v>205142.93</v>
      </c>
      <c r="N743" s="363">
        <f t="shared" si="103"/>
        <v>0</v>
      </c>
      <c r="O743" s="43" t="s">
        <v>3309</v>
      </c>
      <c r="P743" s="43"/>
      <c r="R743" s="41">
        <f t="shared" si="99"/>
        <v>0</v>
      </c>
      <c r="S743" s="41">
        <f t="shared" si="100"/>
        <v>0</v>
      </c>
      <c r="T743" s="41">
        <f t="shared" si="101"/>
        <v>0</v>
      </c>
      <c r="U743" s="41"/>
      <c r="V743" s="44" t="str">
        <f>IF($P743="High",$S743,IF($P743="Mix",SUMIF('High_Low Voltage Mix Summary'!$B$10:$B$17,$B765,'High_Low Voltage Mix Summary'!$D$10:$D$17),""))</f>
        <v/>
      </c>
      <c r="W743" s="44" t="str">
        <f>IF($P743="Low",$S743,IF($P743="Mix",SUMIF('High_Low Voltage Mix Summary'!$B$10:$B$17,$B765,'High_Low Voltage Mix Summary'!$E$10:$E$17),""))</f>
        <v/>
      </c>
      <c r="X743" s="44" t="str">
        <f>IF($P743="High",$T743,IF($P743="Mix",SUMIF('High_Low Voltage Mix Summary'!$B$10:$B$17,$B765,'High_Low Voltage Mix Summary'!$F$10:$F$17),""))</f>
        <v/>
      </c>
      <c r="Y743" s="44" t="str">
        <f>IF($P743="Low",$T743,IF($P743="Mix",SUMIF('High_Low Voltage Mix Summary'!$B$10:$B$17,$B765,'High_Low Voltage Mix Summary'!$G$10:$G$17),""))</f>
        <v/>
      </c>
      <c r="Z743" s="44" t="str">
        <f>IF(OR($P743="High",$P743="Low"),"",IF($P743="Mix",SUMIF('High_Low Voltage Mix Summary'!$B$10:$B$17,$B765,'High_Low Voltage Mix Summary'!$H$10:$H$17),""))</f>
        <v/>
      </c>
      <c r="AB743" s="49">
        <f>SUMIF('Antelope Bailey Split BA'!$B$7:$B$29,B743,'Antelope Bailey Split BA'!$C$7:$C$29)</f>
        <v>0</v>
      </c>
      <c r="AC743" s="49" t="str">
        <f>IF(AND(AB743=1,'Plant Total by Account'!$H$1=2),"EKWRA","")</f>
        <v/>
      </c>
    </row>
    <row r="744" spans="1:29" x14ac:dyDescent="0.2">
      <c r="A744" s="39" t="s">
        <v>3205</v>
      </c>
      <c r="B744" s="45" t="s">
        <v>870</v>
      </c>
      <c r="C744" s="40" t="s">
        <v>3333</v>
      </c>
      <c r="D744" s="53">
        <v>5029.16</v>
      </c>
      <c r="E744" s="53">
        <v>1940.49</v>
      </c>
      <c r="F744" s="53">
        <v>407228.04000000021</v>
      </c>
      <c r="G744" s="578">
        <f t="shared" si="102"/>
        <v>414197.69000000024</v>
      </c>
      <c r="H744" s="41"/>
      <c r="I744" s="41"/>
      <c r="J744" s="41"/>
      <c r="K744" s="41">
        <f t="shared" si="104"/>
        <v>5029.16</v>
      </c>
      <c r="L744" s="41">
        <f t="shared" si="105"/>
        <v>1940.49</v>
      </c>
      <c r="M744" s="41">
        <f t="shared" si="106"/>
        <v>407228.04000000021</v>
      </c>
      <c r="N744" s="363">
        <f t="shared" si="103"/>
        <v>0</v>
      </c>
      <c r="O744" s="43" t="s">
        <v>3309</v>
      </c>
      <c r="P744" s="43"/>
      <c r="R744" s="41">
        <f t="shared" ref="R744:R775" si="107">SUM(H744:J744)</f>
        <v>0</v>
      </c>
      <c r="S744" s="41">
        <f t="shared" ref="S744:S775" si="108">H744</f>
        <v>0</v>
      </c>
      <c r="T744" s="41">
        <f t="shared" ref="T744:T775" si="109">SUM(I744:J744)</f>
        <v>0</v>
      </c>
      <c r="U744" s="41"/>
      <c r="V744" s="44" t="str">
        <f>IF($P744="High",$S744,IF($P744="Mix",SUMIF('High_Low Voltage Mix Summary'!$B$10:$B$17,$B766,'High_Low Voltage Mix Summary'!$D$10:$D$17),""))</f>
        <v/>
      </c>
      <c r="W744" s="44" t="str">
        <f>IF($P744="Low",$S744,IF($P744="Mix",SUMIF('High_Low Voltage Mix Summary'!$B$10:$B$17,$B766,'High_Low Voltage Mix Summary'!$E$10:$E$17),""))</f>
        <v/>
      </c>
      <c r="X744" s="44" t="str">
        <f>IF($P744="High",$T744,IF($P744="Mix",SUMIF('High_Low Voltage Mix Summary'!$B$10:$B$17,$B766,'High_Low Voltage Mix Summary'!$F$10:$F$17),""))</f>
        <v/>
      </c>
      <c r="Y744" s="44" t="str">
        <f>IF($P744="Low",$T744,IF($P744="Mix",SUMIF('High_Low Voltage Mix Summary'!$B$10:$B$17,$B766,'High_Low Voltage Mix Summary'!$G$10:$G$17),""))</f>
        <v/>
      </c>
      <c r="Z744" s="44" t="str">
        <f>IF(OR($P744="High",$P744="Low"),"",IF($P744="Mix",SUMIF('High_Low Voltage Mix Summary'!$B$10:$B$17,$B766,'High_Low Voltage Mix Summary'!$H$10:$H$17),""))</f>
        <v/>
      </c>
      <c r="AB744" s="49">
        <f>SUMIF('Antelope Bailey Split BA'!$B$7:$B$29,B744,'Antelope Bailey Split BA'!$C$7:$C$29)</f>
        <v>0</v>
      </c>
      <c r="AC744" s="49" t="str">
        <f>IF(AND(AB744=1,'Plant Total by Account'!$H$1=2),"EKWRA","")</f>
        <v/>
      </c>
    </row>
    <row r="745" spans="1:29" x14ac:dyDescent="0.2">
      <c r="A745" s="39" t="s">
        <v>3206</v>
      </c>
      <c r="B745" s="45" t="s">
        <v>3207</v>
      </c>
      <c r="C745" s="40"/>
      <c r="D745" s="53">
        <v>490933.9</v>
      </c>
      <c r="E745" s="53">
        <v>0</v>
      </c>
      <c r="F745" s="53">
        <v>0</v>
      </c>
      <c r="G745" s="578">
        <f t="shared" si="102"/>
        <v>490933.9</v>
      </c>
      <c r="H745" s="41"/>
      <c r="I745" s="41"/>
      <c r="J745" s="41"/>
      <c r="K745" s="41">
        <f t="shared" si="104"/>
        <v>490933.9</v>
      </c>
      <c r="L745" s="41">
        <f t="shared" si="105"/>
        <v>0</v>
      </c>
      <c r="M745" s="41">
        <f t="shared" si="106"/>
        <v>0</v>
      </c>
      <c r="N745" s="363">
        <f t="shared" si="103"/>
        <v>0</v>
      </c>
      <c r="O745" s="43" t="s">
        <v>3309</v>
      </c>
      <c r="P745" s="43"/>
      <c r="R745" s="41">
        <f t="shared" si="107"/>
        <v>0</v>
      </c>
      <c r="S745" s="41">
        <f t="shared" si="108"/>
        <v>0</v>
      </c>
      <c r="T745" s="41">
        <f t="shared" si="109"/>
        <v>0</v>
      </c>
      <c r="U745" s="41"/>
      <c r="V745" s="44" t="str">
        <f>IF($P745="High",$S745,IF($P745="Mix",SUMIF('High_Low Voltage Mix Summary'!$B$10:$B$17,$B505,'High_Low Voltage Mix Summary'!$D$10:$D$17),""))</f>
        <v/>
      </c>
      <c r="W745" s="44" t="str">
        <f>IF($P745="Low",$S745,IF($P745="Mix",SUMIF('High_Low Voltage Mix Summary'!$B$10:$B$17,$B505,'High_Low Voltage Mix Summary'!$E$10:$E$17),""))</f>
        <v/>
      </c>
      <c r="X745" s="44" t="str">
        <f>IF($P745="High",$T745,IF($P745="Mix",SUMIF('High_Low Voltage Mix Summary'!$B$10:$B$17,$B505,'High_Low Voltage Mix Summary'!$F$10:$F$17),""))</f>
        <v/>
      </c>
      <c r="Y745" s="44" t="str">
        <f>IF($P745="Low",$T745,IF($P745="Mix",SUMIF('High_Low Voltage Mix Summary'!$B$10:$B$17,$B505,'High_Low Voltage Mix Summary'!$G$10:$G$17),""))</f>
        <v/>
      </c>
      <c r="Z745" s="44" t="str">
        <f>IF(OR($P745="High",$P745="Low"),"",IF($P745="Mix",SUMIF('High_Low Voltage Mix Summary'!$B$10:$B$17,$B505,'High_Low Voltage Mix Summary'!$H$10:$H$17),""))</f>
        <v/>
      </c>
      <c r="AB745" s="49">
        <f>SUMIF('Antelope Bailey Split BA'!$B$7:$B$29,B745,'Antelope Bailey Split BA'!$C$7:$C$29)</f>
        <v>0</v>
      </c>
      <c r="AC745" s="49" t="str">
        <f>IF(AND(AB745=1,'Plant Total by Account'!$H$1=2),"EKWRA","")</f>
        <v/>
      </c>
    </row>
    <row r="746" spans="1:29" x14ac:dyDescent="0.2">
      <c r="A746" s="39" t="s">
        <v>2550</v>
      </c>
      <c r="B746" s="132" t="s">
        <v>871</v>
      </c>
      <c r="C746" s="40" t="s">
        <v>3333</v>
      </c>
      <c r="D746" s="53">
        <v>198.36</v>
      </c>
      <c r="E746" s="53">
        <v>28035.89</v>
      </c>
      <c r="F746" s="53">
        <v>438908.14</v>
      </c>
      <c r="G746" s="578">
        <f t="shared" si="102"/>
        <v>467142.39</v>
      </c>
      <c r="H746" s="41"/>
      <c r="I746" s="41"/>
      <c r="J746" s="41"/>
      <c r="K746" s="41">
        <f t="shared" si="104"/>
        <v>198.36</v>
      </c>
      <c r="L746" s="41">
        <f t="shared" si="105"/>
        <v>28035.89</v>
      </c>
      <c r="M746" s="41">
        <f t="shared" si="106"/>
        <v>438908.14</v>
      </c>
      <c r="N746" s="363">
        <f t="shared" si="103"/>
        <v>0</v>
      </c>
      <c r="O746" s="43" t="s">
        <v>3309</v>
      </c>
      <c r="P746" s="43"/>
      <c r="R746" s="41">
        <f t="shared" si="107"/>
        <v>0</v>
      </c>
      <c r="S746" s="41">
        <f t="shared" si="108"/>
        <v>0</v>
      </c>
      <c r="T746" s="41">
        <f t="shared" si="109"/>
        <v>0</v>
      </c>
      <c r="U746" s="41"/>
      <c r="V746" s="44" t="str">
        <f>IF($P746="High",$S746,IF($P746="Mix",SUMIF('High_Low Voltage Mix Summary'!$B$10:$B$17,$B803,'High_Low Voltage Mix Summary'!$D$10:$D$17),""))</f>
        <v/>
      </c>
      <c r="W746" s="44" t="str">
        <f>IF($P746="Low",$S746,IF($P746="Mix",SUMIF('High_Low Voltage Mix Summary'!$B$10:$B$17,$B803,'High_Low Voltage Mix Summary'!$E$10:$E$17),""))</f>
        <v/>
      </c>
      <c r="X746" s="44" t="str">
        <f>IF($P746="High",$T746,IF($P746="Mix",SUMIF('High_Low Voltage Mix Summary'!$B$10:$B$17,$B803,'High_Low Voltage Mix Summary'!$F$10:$F$17),""))</f>
        <v/>
      </c>
      <c r="Y746" s="44" t="str">
        <f>IF($P746="Low",$T746,IF($P746="Mix",SUMIF('High_Low Voltage Mix Summary'!$B$10:$B$17,$B803,'High_Low Voltage Mix Summary'!$G$10:$G$17),""))</f>
        <v/>
      </c>
      <c r="Z746" s="44" t="str">
        <f>IF(OR($P746="High",$P746="Low"),"",IF($P746="Mix",SUMIF('High_Low Voltage Mix Summary'!$B$10:$B$17,$B803,'High_Low Voltage Mix Summary'!$H$10:$H$17),""))</f>
        <v/>
      </c>
      <c r="AB746" s="49">
        <f>SUMIF('Antelope Bailey Split BA'!$B$7:$B$29,B746,'Antelope Bailey Split BA'!$C$7:$C$29)</f>
        <v>0</v>
      </c>
      <c r="AC746" s="49" t="str">
        <f>IF(AND(AB746=1,'Plant Total by Account'!$H$1=2),"EKWRA","")</f>
        <v/>
      </c>
    </row>
    <row r="747" spans="1:29" x14ac:dyDescent="0.2">
      <c r="A747" s="39" t="s">
        <v>2551</v>
      </c>
      <c r="B747" s="45" t="s">
        <v>872</v>
      </c>
      <c r="C747" s="40" t="s">
        <v>3333</v>
      </c>
      <c r="D747" s="53">
        <v>4351.78</v>
      </c>
      <c r="E747" s="53">
        <v>56728.94</v>
      </c>
      <c r="F747" s="53">
        <v>1267028.54</v>
      </c>
      <c r="G747" s="578">
        <f t="shared" si="102"/>
        <v>1328109.26</v>
      </c>
      <c r="H747" s="41"/>
      <c r="I747" s="41"/>
      <c r="J747" s="41"/>
      <c r="K747" s="41">
        <f t="shared" si="104"/>
        <v>4351.78</v>
      </c>
      <c r="L747" s="41">
        <f t="shared" si="105"/>
        <v>56728.94</v>
      </c>
      <c r="M747" s="41">
        <f t="shared" si="106"/>
        <v>1267028.54</v>
      </c>
      <c r="N747" s="363">
        <f t="shared" si="103"/>
        <v>0</v>
      </c>
      <c r="O747" s="43" t="s">
        <v>3309</v>
      </c>
      <c r="P747" s="43"/>
      <c r="R747" s="41">
        <f t="shared" si="107"/>
        <v>0</v>
      </c>
      <c r="S747" s="41">
        <f t="shared" si="108"/>
        <v>0</v>
      </c>
      <c r="T747" s="41">
        <f t="shared" si="109"/>
        <v>0</v>
      </c>
      <c r="U747" s="41"/>
      <c r="V747" s="44" t="str">
        <f>IF($P747="High",$S747,IF($P747="Mix",SUMIF('High_Low Voltage Mix Summary'!$B$10:$B$17,$B767,'High_Low Voltage Mix Summary'!$D$10:$D$17),""))</f>
        <v/>
      </c>
      <c r="W747" s="44" t="str">
        <f>IF($P747="Low",$S747,IF($P747="Mix",SUMIF('High_Low Voltage Mix Summary'!$B$10:$B$17,$B767,'High_Low Voltage Mix Summary'!$E$10:$E$17),""))</f>
        <v/>
      </c>
      <c r="X747" s="44" t="str">
        <f>IF($P747="High",$T747,IF($P747="Mix",SUMIF('High_Low Voltage Mix Summary'!$B$10:$B$17,$B767,'High_Low Voltage Mix Summary'!$F$10:$F$17),""))</f>
        <v/>
      </c>
      <c r="Y747" s="44" t="str">
        <f>IF($P747="Low",$T747,IF($P747="Mix",SUMIF('High_Low Voltage Mix Summary'!$B$10:$B$17,$B767,'High_Low Voltage Mix Summary'!$G$10:$G$17),""))</f>
        <v/>
      </c>
      <c r="Z747" s="44" t="str">
        <f>IF(OR($P747="High",$P747="Low"),"",IF($P747="Mix",SUMIF('High_Low Voltage Mix Summary'!$B$10:$B$17,$B767,'High_Low Voltage Mix Summary'!$H$10:$H$17),""))</f>
        <v/>
      </c>
      <c r="AB747" s="49">
        <f>SUMIF('Antelope Bailey Split BA'!$B$7:$B$29,B747,'Antelope Bailey Split BA'!$C$7:$C$29)</f>
        <v>0</v>
      </c>
      <c r="AC747" s="49" t="str">
        <f>IF(AND(AB747=1,'Plant Total by Account'!$H$1=2),"EKWRA","")</f>
        <v/>
      </c>
    </row>
    <row r="748" spans="1:29" x14ac:dyDescent="0.2">
      <c r="A748" s="39" t="s">
        <v>2552</v>
      </c>
      <c r="B748" s="45" t="s">
        <v>873</v>
      </c>
      <c r="C748" s="40" t="s">
        <v>3333</v>
      </c>
      <c r="D748" s="53">
        <v>549.52</v>
      </c>
      <c r="E748" s="53">
        <v>5255.02</v>
      </c>
      <c r="F748" s="53">
        <v>1034937.8899999999</v>
      </c>
      <c r="G748" s="578">
        <f t="shared" si="102"/>
        <v>1040742.4299999999</v>
      </c>
      <c r="H748" s="41"/>
      <c r="I748" s="41"/>
      <c r="J748" s="41"/>
      <c r="K748" s="41">
        <f t="shared" si="104"/>
        <v>549.52</v>
      </c>
      <c r="L748" s="41">
        <f t="shared" si="105"/>
        <v>5255.02</v>
      </c>
      <c r="M748" s="41">
        <f t="shared" si="106"/>
        <v>1034937.8899999999</v>
      </c>
      <c r="N748" s="363">
        <f t="shared" si="103"/>
        <v>0</v>
      </c>
      <c r="O748" s="43" t="s">
        <v>3309</v>
      </c>
      <c r="P748" s="43"/>
      <c r="R748" s="41">
        <f t="shared" si="107"/>
        <v>0</v>
      </c>
      <c r="S748" s="41">
        <f t="shared" si="108"/>
        <v>0</v>
      </c>
      <c r="T748" s="41">
        <f t="shared" si="109"/>
        <v>0</v>
      </c>
      <c r="U748" s="41"/>
      <c r="V748" s="44" t="str">
        <f>IF($P748="High",$S748,IF($P748="Mix",SUMIF('High_Low Voltage Mix Summary'!$B$10:$B$17,$B506,'High_Low Voltage Mix Summary'!$D$10:$D$17),""))</f>
        <v/>
      </c>
      <c r="W748" s="44" t="str">
        <f>IF($P748="Low",$S748,IF($P748="Mix",SUMIF('High_Low Voltage Mix Summary'!$B$10:$B$17,$B506,'High_Low Voltage Mix Summary'!$E$10:$E$17),""))</f>
        <v/>
      </c>
      <c r="X748" s="44" t="str">
        <f>IF($P748="High",$T748,IF($P748="Mix",SUMIF('High_Low Voltage Mix Summary'!$B$10:$B$17,$B506,'High_Low Voltage Mix Summary'!$F$10:$F$17),""))</f>
        <v/>
      </c>
      <c r="Y748" s="44" t="str">
        <f>IF($P748="Low",$T748,IF($P748="Mix",SUMIF('High_Low Voltage Mix Summary'!$B$10:$B$17,$B506,'High_Low Voltage Mix Summary'!$G$10:$G$17),""))</f>
        <v/>
      </c>
      <c r="Z748" s="44" t="str">
        <f>IF(OR($P748="High",$P748="Low"),"",IF($P748="Mix",SUMIF('High_Low Voltage Mix Summary'!$B$10:$B$17,$B506,'High_Low Voltage Mix Summary'!$H$10:$H$17),""))</f>
        <v/>
      </c>
      <c r="AB748" s="49">
        <f>SUMIF('Antelope Bailey Split BA'!$B$7:$B$29,B748,'Antelope Bailey Split BA'!$C$7:$C$29)</f>
        <v>0</v>
      </c>
      <c r="AC748" s="49" t="str">
        <f>IF(AND(AB748=1,'Plant Total by Account'!$H$1=2),"EKWRA","")</f>
        <v/>
      </c>
    </row>
    <row r="749" spans="1:29" x14ac:dyDescent="0.2">
      <c r="A749" s="39" t="s">
        <v>2553</v>
      </c>
      <c r="B749" s="45" t="s">
        <v>874</v>
      </c>
      <c r="C749" s="40" t="s">
        <v>3333</v>
      </c>
      <c r="D749" s="53">
        <v>0</v>
      </c>
      <c r="E749" s="53">
        <v>0</v>
      </c>
      <c r="F749" s="53">
        <v>2411588.2500000005</v>
      </c>
      <c r="G749" s="578">
        <f t="shared" si="102"/>
        <v>2411588.2500000005</v>
      </c>
      <c r="H749" s="41"/>
      <c r="I749" s="41"/>
      <c r="J749" s="41"/>
      <c r="K749" s="41">
        <f t="shared" si="104"/>
        <v>0</v>
      </c>
      <c r="L749" s="41">
        <f t="shared" si="105"/>
        <v>0</v>
      </c>
      <c r="M749" s="41">
        <f t="shared" si="106"/>
        <v>2411588.2500000005</v>
      </c>
      <c r="N749" s="363">
        <f t="shared" si="103"/>
        <v>0</v>
      </c>
      <c r="O749" s="43" t="s">
        <v>3309</v>
      </c>
      <c r="P749" s="43"/>
      <c r="R749" s="41">
        <f t="shared" si="107"/>
        <v>0</v>
      </c>
      <c r="S749" s="41">
        <f t="shared" si="108"/>
        <v>0</v>
      </c>
      <c r="T749" s="41">
        <f t="shared" si="109"/>
        <v>0</v>
      </c>
      <c r="U749" s="41"/>
      <c r="V749" s="44" t="str">
        <f>IF($P749="High",$S749,IF($P749="Mix",SUMIF('High_Low Voltage Mix Summary'!$B$10:$B$17,$B507,'High_Low Voltage Mix Summary'!$D$10:$D$17),""))</f>
        <v/>
      </c>
      <c r="W749" s="44" t="str">
        <f>IF($P749="Low",$S749,IF($P749="Mix",SUMIF('High_Low Voltage Mix Summary'!$B$10:$B$17,$B507,'High_Low Voltage Mix Summary'!$E$10:$E$17),""))</f>
        <v/>
      </c>
      <c r="X749" s="44" t="str">
        <f>IF($P749="High",$T749,IF($P749="Mix",SUMIF('High_Low Voltage Mix Summary'!$B$10:$B$17,$B507,'High_Low Voltage Mix Summary'!$F$10:$F$17),""))</f>
        <v/>
      </c>
      <c r="Y749" s="44" t="str">
        <f>IF($P749="Low",$T749,IF($P749="Mix",SUMIF('High_Low Voltage Mix Summary'!$B$10:$B$17,$B507,'High_Low Voltage Mix Summary'!$G$10:$G$17),""))</f>
        <v/>
      </c>
      <c r="Z749" s="44" t="str">
        <f>IF(OR($P749="High",$P749="Low"),"",IF($P749="Mix",SUMIF('High_Low Voltage Mix Summary'!$B$10:$B$17,$B507,'High_Low Voltage Mix Summary'!$H$10:$H$17),""))</f>
        <v/>
      </c>
      <c r="AB749" s="49">
        <f>SUMIF('Antelope Bailey Split BA'!$B$7:$B$29,B749,'Antelope Bailey Split BA'!$C$7:$C$29)</f>
        <v>0</v>
      </c>
      <c r="AC749" s="49" t="str">
        <f>IF(AND(AB749=1,'Plant Total by Account'!$H$1=2),"EKWRA","")</f>
        <v/>
      </c>
    </row>
    <row r="750" spans="1:29" x14ac:dyDescent="0.2">
      <c r="A750" s="39" t="s">
        <v>2554</v>
      </c>
      <c r="B750" s="45" t="s">
        <v>875</v>
      </c>
      <c r="C750" s="40" t="s">
        <v>3329</v>
      </c>
      <c r="D750" s="53">
        <v>0</v>
      </c>
      <c r="E750" s="53">
        <v>60359.960000000006</v>
      </c>
      <c r="F750" s="53">
        <v>0</v>
      </c>
      <c r="G750" s="578">
        <f t="shared" si="102"/>
        <v>60359.960000000006</v>
      </c>
      <c r="H750" s="41"/>
      <c r="I750" s="41"/>
      <c r="J750" s="41"/>
      <c r="K750" s="41">
        <f t="shared" si="104"/>
        <v>0</v>
      </c>
      <c r="L750" s="41">
        <f t="shared" si="105"/>
        <v>60359.960000000006</v>
      </c>
      <c r="M750" s="41">
        <f t="shared" si="106"/>
        <v>0</v>
      </c>
      <c r="N750" s="363">
        <f t="shared" si="103"/>
        <v>0</v>
      </c>
      <c r="O750" s="43" t="s">
        <v>3309</v>
      </c>
      <c r="P750" s="43"/>
      <c r="R750" s="41">
        <f t="shared" si="107"/>
        <v>0</v>
      </c>
      <c r="S750" s="41">
        <f t="shared" si="108"/>
        <v>0</v>
      </c>
      <c r="T750" s="41">
        <f t="shared" si="109"/>
        <v>0</v>
      </c>
      <c r="U750" s="41"/>
      <c r="V750" s="44" t="str">
        <f>IF($P750="High",$S750,IF($P750="Mix",SUMIF('High_Low Voltage Mix Summary'!$B$10:$B$17,$B768,'High_Low Voltage Mix Summary'!$D$10:$D$17),""))</f>
        <v/>
      </c>
      <c r="W750" s="44" t="str">
        <f>IF($P750="Low",$S750,IF($P750="Mix",SUMIF('High_Low Voltage Mix Summary'!$B$10:$B$17,$B768,'High_Low Voltage Mix Summary'!$E$10:$E$17),""))</f>
        <v/>
      </c>
      <c r="X750" s="44" t="str">
        <f>IF($P750="High",$T750,IF($P750="Mix",SUMIF('High_Low Voltage Mix Summary'!$B$10:$B$17,$B768,'High_Low Voltage Mix Summary'!$F$10:$F$17),""))</f>
        <v/>
      </c>
      <c r="Y750" s="44" t="str">
        <f>IF($P750="Low",$T750,IF($P750="Mix",SUMIF('High_Low Voltage Mix Summary'!$B$10:$B$17,$B768,'High_Low Voltage Mix Summary'!$G$10:$G$17),""))</f>
        <v/>
      </c>
      <c r="Z750" s="44" t="str">
        <f>IF(OR($P750="High",$P750="Low"),"",IF($P750="Mix",SUMIF('High_Low Voltage Mix Summary'!$B$10:$B$17,$B768,'High_Low Voltage Mix Summary'!$H$10:$H$17),""))</f>
        <v/>
      </c>
      <c r="AB750" s="49">
        <f>SUMIF('Antelope Bailey Split BA'!$B$7:$B$29,B750,'Antelope Bailey Split BA'!$C$7:$C$29)</f>
        <v>0</v>
      </c>
      <c r="AC750" s="49" t="str">
        <f>IF(AND(AB750=1,'Plant Total by Account'!$H$1=2),"EKWRA","")</f>
        <v/>
      </c>
    </row>
    <row r="751" spans="1:29" x14ac:dyDescent="0.2">
      <c r="A751" s="39" t="s">
        <v>2555</v>
      </c>
      <c r="B751" s="45" t="s">
        <v>876</v>
      </c>
      <c r="C751" s="40" t="s">
        <v>3333</v>
      </c>
      <c r="D751" s="53">
        <v>13.1</v>
      </c>
      <c r="E751" s="53">
        <v>10510.51</v>
      </c>
      <c r="F751" s="53">
        <v>189655.25</v>
      </c>
      <c r="G751" s="578">
        <f t="shared" si="102"/>
        <v>200178.86</v>
      </c>
      <c r="H751" s="41"/>
      <c r="I751" s="41"/>
      <c r="J751" s="41"/>
      <c r="K751" s="41">
        <f t="shared" si="104"/>
        <v>13.1</v>
      </c>
      <c r="L751" s="41">
        <f t="shared" si="105"/>
        <v>10510.51</v>
      </c>
      <c r="M751" s="41">
        <f t="shared" si="106"/>
        <v>189655.25</v>
      </c>
      <c r="N751" s="363">
        <f t="shared" si="103"/>
        <v>0</v>
      </c>
      <c r="O751" s="43" t="s">
        <v>3309</v>
      </c>
      <c r="P751" s="43"/>
      <c r="R751" s="41">
        <f t="shared" si="107"/>
        <v>0</v>
      </c>
      <c r="S751" s="41">
        <f t="shared" si="108"/>
        <v>0</v>
      </c>
      <c r="T751" s="41">
        <f t="shared" si="109"/>
        <v>0</v>
      </c>
      <c r="U751" s="41"/>
      <c r="V751" s="44" t="str">
        <f>IF($P751="High",$S751,IF($P751="Mix",SUMIF('High_Low Voltage Mix Summary'!$B$10:$B$17,$B769,'High_Low Voltage Mix Summary'!$D$10:$D$17),""))</f>
        <v/>
      </c>
      <c r="W751" s="44" t="str">
        <f>IF($P751="Low",$S751,IF($P751="Mix",SUMIF('High_Low Voltage Mix Summary'!$B$10:$B$17,$B769,'High_Low Voltage Mix Summary'!$E$10:$E$17),""))</f>
        <v/>
      </c>
      <c r="X751" s="44" t="str">
        <f>IF($P751="High",$T751,IF($P751="Mix",SUMIF('High_Low Voltage Mix Summary'!$B$10:$B$17,$B769,'High_Low Voltage Mix Summary'!$F$10:$F$17),""))</f>
        <v/>
      </c>
      <c r="Y751" s="44" t="str">
        <f>IF($P751="Low",$T751,IF($P751="Mix",SUMIF('High_Low Voltage Mix Summary'!$B$10:$B$17,$B769,'High_Low Voltage Mix Summary'!$G$10:$G$17),""))</f>
        <v/>
      </c>
      <c r="Z751" s="44" t="str">
        <f>IF(OR($P751="High",$P751="Low"),"",IF($P751="Mix",SUMIF('High_Low Voltage Mix Summary'!$B$10:$B$17,$B769,'High_Low Voltage Mix Summary'!$H$10:$H$17),""))</f>
        <v/>
      </c>
      <c r="AB751" s="49">
        <f>SUMIF('Antelope Bailey Split BA'!$B$7:$B$29,B751,'Antelope Bailey Split BA'!$C$7:$C$29)</f>
        <v>0</v>
      </c>
      <c r="AC751" s="49" t="str">
        <f>IF(AND(AB751=1,'Plant Total by Account'!$H$1=2),"EKWRA","")</f>
        <v/>
      </c>
    </row>
    <row r="752" spans="1:29" x14ac:dyDescent="0.2">
      <c r="A752" s="39" t="s">
        <v>3208</v>
      </c>
      <c r="B752" s="40" t="s">
        <v>877</v>
      </c>
      <c r="C752" s="40" t="s">
        <v>3329</v>
      </c>
      <c r="D752" s="53">
        <v>0</v>
      </c>
      <c r="E752" s="53">
        <v>34000.089999999997</v>
      </c>
      <c r="F752" s="53">
        <v>563603.96000000008</v>
      </c>
      <c r="G752" s="578">
        <f t="shared" si="102"/>
        <v>597604.05000000005</v>
      </c>
      <c r="H752" s="41"/>
      <c r="I752" s="41"/>
      <c r="J752" s="41"/>
      <c r="K752" s="41">
        <f t="shared" si="104"/>
        <v>0</v>
      </c>
      <c r="L752" s="41">
        <f t="shared" si="105"/>
        <v>34000.089999999997</v>
      </c>
      <c r="M752" s="41">
        <f t="shared" si="106"/>
        <v>563603.96000000008</v>
      </c>
      <c r="N752" s="363">
        <f t="shared" si="103"/>
        <v>0</v>
      </c>
      <c r="O752" s="43" t="s">
        <v>3309</v>
      </c>
      <c r="P752" s="43"/>
      <c r="R752" s="41">
        <f t="shared" si="107"/>
        <v>0</v>
      </c>
      <c r="S752" s="41">
        <f t="shared" si="108"/>
        <v>0</v>
      </c>
      <c r="T752" s="41">
        <f t="shared" si="109"/>
        <v>0</v>
      </c>
      <c r="U752" s="41"/>
      <c r="V752" s="44" t="str">
        <f>IF($P752="High",$S752,IF($P752="Mix",SUMIF('High_Low Voltage Mix Summary'!$B$10:$B$17,#REF!,'High_Low Voltage Mix Summary'!$D$10:$D$17),""))</f>
        <v/>
      </c>
      <c r="W752" s="44" t="str">
        <f>IF($P752="Low",$S752,IF($P752="Mix",SUMIF('High_Low Voltage Mix Summary'!$B$10:$B$17,#REF!,'High_Low Voltage Mix Summary'!$E$10:$E$17),""))</f>
        <v/>
      </c>
      <c r="X752" s="44" t="str">
        <f>IF($P752="High",$T752,IF($P752="Mix",SUMIF('High_Low Voltage Mix Summary'!$B$10:$B$17,#REF!,'High_Low Voltage Mix Summary'!$F$10:$F$17),""))</f>
        <v/>
      </c>
      <c r="Y752" s="44" t="str">
        <f>IF($P752="Low",$T752,IF($P752="Mix",SUMIF('High_Low Voltage Mix Summary'!$B$10:$B$17,#REF!,'High_Low Voltage Mix Summary'!$G$10:$G$17),""))</f>
        <v/>
      </c>
      <c r="Z752" s="44" t="str">
        <f>IF(OR($P752="High",$P752="Low"),"",IF($P752="Mix",SUMIF('High_Low Voltage Mix Summary'!$B$10:$B$17,#REF!,'High_Low Voltage Mix Summary'!$H$10:$H$17),""))</f>
        <v/>
      </c>
      <c r="AB752" s="49">
        <f>SUMIF('Antelope Bailey Split BA'!$B$7:$B$29,B752,'Antelope Bailey Split BA'!$C$7:$C$29)</f>
        <v>0</v>
      </c>
      <c r="AC752" s="49" t="str">
        <f>IF(AND(AB752=1,'Plant Total by Account'!$H$1=2),"EKWRA","")</f>
        <v/>
      </c>
    </row>
    <row r="753" spans="1:29" x14ac:dyDescent="0.2">
      <c r="A753" s="39" t="s">
        <v>2556</v>
      </c>
      <c r="B753" s="45" t="s">
        <v>878</v>
      </c>
      <c r="C753" s="40" t="s">
        <v>3333</v>
      </c>
      <c r="D753" s="53">
        <v>0</v>
      </c>
      <c r="E753" s="53">
        <v>171.46</v>
      </c>
      <c r="F753" s="53">
        <v>360771.82999999996</v>
      </c>
      <c r="G753" s="578">
        <f t="shared" si="102"/>
        <v>360943.29</v>
      </c>
      <c r="H753" s="41"/>
      <c r="I753" s="41"/>
      <c r="J753" s="41"/>
      <c r="K753" s="41">
        <f t="shared" si="104"/>
        <v>0</v>
      </c>
      <c r="L753" s="41">
        <f t="shared" si="105"/>
        <v>171.46</v>
      </c>
      <c r="M753" s="41">
        <f t="shared" si="106"/>
        <v>360771.82999999996</v>
      </c>
      <c r="N753" s="363">
        <f t="shared" si="103"/>
        <v>0</v>
      </c>
      <c r="O753" s="43" t="s">
        <v>3309</v>
      </c>
      <c r="P753" s="43"/>
      <c r="R753" s="41">
        <f t="shared" si="107"/>
        <v>0</v>
      </c>
      <c r="S753" s="41">
        <f t="shared" si="108"/>
        <v>0</v>
      </c>
      <c r="T753" s="41">
        <f t="shared" si="109"/>
        <v>0</v>
      </c>
      <c r="U753" s="41"/>
      <c r="V753" s="44" t="str">
        <f>IF($P753="High",$S753,IF($P753="Mix",SUMIF('High_Low Voltage Mix Summary'!$B$10:$B$17,#REF!,'High_Low Voltage Mix Summary'!$D$10:$D$17),""))</f>
        <v/>
      </c>
      <c r="W753" s="44" t="str">
        <f>IF($P753="Low",$S753,IF($P753="Mix",SUMIF('High_Low Voltage Mix Summary'!$B$10:$B$17,#REF!,'High_Low Voltage Mix Summary'!$E$10:$E$17),""))</f>
        <v/>
      </c>
      <c r="X753" s="44" t="str">
        <f>IF($P753="High",$T753,IF($P753="Mix",SUMIF('High_Low Voltage Mix Summary'!$B$10:$B$17,#REF!,'High_Low Voltage Mix Summary'!$F$10:$F$17),""))</f>
        <v/>
      </c>
      <c r="Y753" s="44" t="str">
        <f>IF($P753="Low",$T753,IF($P753="Mix",SUMIF('High_Low Voltage Mix Summary'!$B$10:$B$17,#REF!,'High_Low Voltage Mix Summary'!$G$10:$G$17),""))</f>
        <v/>
      </c>
      <c r="Z753" s="44" t="str">
        <f>IF(OR($P753="High",$P753="Low"),"",IF($P753="Mix",SUMIF('High_Low Voltage Mix Summary'!$B$10:$B$17,#REF!,'High_Low Voltage Mix Summary'!$H$10:$H$17),""))</f>
        <v/>
      </c>
      <c r="AB753" s="49">
        <f>SUMIF('Antelope Bailey Split BA'!$B$7:$B$29,B753,'Antelope Bailey Split BA'!$C$7:$C$29)</f>
        <v>0</v>
      </c>
      <c r="AC753" s="49" t="str">
        <f>IF(AND(AB753=1,'Plant Total by Account'!$H$1=2),"EKWRA","")</f>
        <v/>
      </c>
    </row>
    <row r="754" spans="1:29" x14ac:dyDescent="0.2">
      <c r="A754" s="39" t="s">
        <v>3209</v>
      </c>
      <c r="B754" s="45" t="s">
        <v>879</v>
      </c>
      <c r="C754" s="40" t="s">
        <v>3333</v>
      </c>
      <c r="D754" s="53">
        <v>0</v>
      </c>
      <c r="E754" s="53">
        <v>5082.4800000000005</v>
      </c>
      <c r="F754" s="53">
        <v>378182.41000000009</v>
      </c>
      <c r="G754" s="578">
        <f t="shared" si="102"/>
        <v>383264.89000000007</v>
      </c>
      <c r="H754" s="41"/>
      <c r="I754" s="41"/>
      <c r="J754" s="41"/>
      <c r="K754" s="41">
        <f t="shared" si="104"/>
        <v>0</v>
      </c>
      <c r="L754" s="41">
        <f t="shared" si="105"/>
        <v>5082.4800000000005</v>
      </c>
      <c r="M754" s="41">
        <f t="shared" si="106"/>
        <v>378182.41000000009</v>
      </c>
      <c r="N754" s="363">
        <f t="shared" si="103"/>
        <v>0</v>
      </c>
      <c r="O754" s="43" t="s">
        <v>3309</v>
      </c>
      <c r="P754" s="43"/>
      <c r="R754" s="41">
        <f t="shared" si="107"/>
        <v>0</v>
      </c>
      <c r="S754" s="41">
        <f t="shared" si="108"/>
        <v>0</v>
      </c>
      <c r="T754" s="41">
        <f t="shared" si="109"/>
        <v>0</v>
      </c>
      <c r="U754" s="41"/>
      <c r="V754" s="44" t="str">
        <f>IF($P754="High",$S754,IF($P754="Mix",SUMIF('High_Low Voltage Mix Summary'!$B$10:$B$17,$B508,'High_Low Voltage Mix Summary'!$D$10:$D$17),""))</f>
        <v/>
      </c>
      <c r="W754" s="44" t="str">
        <f>IF($P754="Low",$S754,IF($P754="Mix",SUMIF('High_Low Voltage Mix Summary'!$B$10:$B$17,$B508,'High_Low Voltage Mix Summary'!$E$10:$E$17),""))</f>
        <v/>
      </c>
      <c r="X754" s="44" t="str">
        <f>IF($P754="High",$T754,IF($P754="Mix",SUMIF('High_Low Voltage Mix Summary'!$B$10:$B$17,$B508,'High_Low Voltage Mix Summary'!$F$10:$F$17),""))</f>
        <v/>
      </c>
      <c r="Y754" s="44" t="str">
        <f>IF($P754="Low",$T754,IF($P754="Mix",SUMIF('High_Low Voltage Mix Summary'!$B$10:$B$17,$B508,'High_Low Voltage Mix Summary'!$G$10:$G$17),""))</f>
        <v/>
      </c>
      <c r="Z754" s="44" t="str">
        <f>IF(OR($P754="High",$P754="Low"),"",IF($P754="Mix",SUMIF('High_Low Voltage Mix Summary'!$B$10:$B$17,$B508,'High_Low Voltage Mix Summary'!$H$10:$H$17),""))</f>
        <v/>
      </c>
      <c r="AB754" s="49">
        <f>SUMIF('Antelope Bailey Split BA'!$B$7:$B$29,B754,'Antelope Bailey Split BA'!$C$7:$C$29)</f>
        <v>0</v>
      </c>
      <c r="AC754" s="49" t="str">
        <f>IF(AND(AB754=1,'Plant Total by Account'!$H$1=2),"EKWRA","")</f>
        <v/>
      </c>
    </row>
    <row r="755" spans="1:29" x14ac:dyDescent="0.2">
      <c r="A755" s="39" t="s">
        <v>3210</v>
      </c>
      <c r="B755" s="43" t="s">
        <v>880</v>
      </c>
      <c r="C755" s="40" t="s">
        <v>3333</v>
      </c>
      <c r="D755" s="53">
        <v>130.21</v>
      </c>
      <c r="E755" s="53">
        <v>0</v>
      </c>
      <c r="F755" s="53">
        <v>120233.44</v>
      </c>
      <c r="G755" s="578">
        <f t="shared" si="102"/>
        <v>120363.65000000001</v>
      </c>
      <c r="H755" s="41"/>
      <c r="I755" s="41"/>
      <c r="J755" s="41"/>
      <c r="K755" s="41">
        <f t="shared" si="104"/>
        <v>130.21</v>
      </c>
      <c r="L755" s="41">
        <f t="shared" si="105"/>
        <v>0</v>
      </c>
      <c r="M755" s="41">
        <f t="shared" si="106"/>
        <v>120233.44</v>
      </c>
      <c r="N755" s="363">
        <f t="shared" si="103"/>
        <v>0</v>
      </c>
      <c r="O755" s="43" t="s">
        <v>3309</v>
      </c>
      <c r="P755" s="43"/>
      <c r="R755" s="41">
        <f t="shared" si="107"/>
        <v>0</v>
      </c>
      <c r="S755" s="41">
        <f t="shared" si="108"/>
        <v>0</v>
      </c>
      <c r="T755" s="41">
        <f t="shared" si="109"/>
        <v>0</v>
      </c>
      <c r="U755" s="41"/>
      <c r="V755" s="44" t="str">
        <f>IF($P755="High",$S755,IF($P755="Mix",SUMIF('High_Low Voltage Mix Summary'!$B$10:$B$17,#REF!,'High_Low Voltage Mix Summary'!$D$10:$D$17),""))</f>
        <v/>
      </c>
      <c r="W755" s="44" t="str">
        <f>IF($P755="Low",$S755,IF($P755="Mix",SUMIF('High_Low Voltage Mix Summary'!$B$10:$B$17,#REF!,'High_Low Voltage Mix Summary'!$E$10:$E$17),""))</f>
        <v/>
      </c>
      <c r="X755" s="44" t="str">
        <f>IF($P755="High",$T755,IF($P755="Mix",SUMIF('High_Low Voltage Mix Summary'!$B$10:$B$17,#REF!,'High_Low Voltage Mix Summary'!$F$10:$F$17),""))</f>
        <v/>
      </c>
      <c r="Y755" s="44" t="str">
        <f>IF($P755="Low",$T755,IF($P755="Mix",SUMIF('High_Low Voltage Mix Summary'!$B$10:$B$17,#REF!,'High_Low Voltage Mix Summary'!$G$10:$G$17),""))</f>
        <v/>
      </c>
      <c r="Z755" s="44" t="str">
        <f>IF(OR($P755="High",$P755="Low"),"",IF($P755="Mix",SUMIF('High_Low Voltage Mix Summary'!$B$10:$B$17,#REF!,'High_Low Voltage Mix Summary'!$H$10:$H$17),""))</f>
        <v/>
      </c>
      <c r="AB755" s="49">
        <f>SUMIF('Antelope Bailey Split BA'!$B$7:$B$29,B755,'Antelope Bailey Split BA'!$C$7:$C$29)</f>
        <v>0</v>
      </c>
      <c r="AC755" s="49" t="str">
        <f>IF(AND(AB755=1,'Plant Total by Account'!$H$1=2),"EKWRA","")</f>
        <v/>
      </c>
    </row>
    <row r="756" spans="1:29" x14ac:dyDescent="0.2">
      <c r="A756" s="39" t="s">
        <v>3211</v>
      </c>
      <c r="B756" s="133" t="s">
        <v>881</v>
      </c>
      <c r="C756" s="40" t="s">
        <v>3333</v>
      </c>
      <c r="D756" s="53">
        <v>1030.6400000000001</v>
      </c>
      <c r="E756" s="53">
        <v>83365.600000000006</v>
      </c>
      <c r="F756" s="53">
        <v>1682361.6500000004</v>
      </c>
      <c r="G756" s="578">
        <f t="shared" si="102"/>
        <v>1766757.8900000004</v>
      </c>
      <c r="H756" s="41"/>
      <c r="I756" s="41"/>
      <c r="J756" s="41"/>
      <c r="K756" s="41">
        <f t="shared" si="104"/>
        <v>1030.6400000000001</v>
      </c>
      <c r="L756" s="41">
        <f t="shared" si="105"/>
        <v>83365.600000000006</v>
      </c>
      <c r="M756" s="41">
        <f t="shared" si="106"/>
        <v>1682361.6500000004</v>
      </c>
      <c r="N756" s="363">
        <f t="shared" si="103"/>
        <v>0</v>
      </c>
      <c r="O756" s="43" t="s">
        <v>3309</v>
      </c>
      <c r="P756" s="43"/>
      <c r="R756" s="41">
        <f t="shared" si="107"/>
        <v>0</v>
      </c>
      <c r="S756" s="41">
        <f t="shared" si="108"/>
        <v>0</v>
      </c>
      <c r="T756" s="41">
        <f t="shared" si="109"/>
        <v>0</v>
      </c>
      <c r="U756" s="41"/>
      <c r="V756" s="44" t="str">
        <f>IF($P756="High",$S756,IF($P756="Mix",SUMIF('High_Low Voltage Mix Summary'!$B$10:$B$17,#REF!,'High_Low Voltage Mix Summary'!$D$10:$D$17),""))</f>
        <v/>
      </c>
      <c r="W756" s="44" t="str">
        <f>IF($P756="Low",$S756,IF($P756="Mix",SUMIF('High_Low Voltage Mix Summary'!$B$10:$B$17,#REF!,'High_Low Voltage Mix Summary'!$E$10:$E$17),""))</f>
        <v/>
      </c>
      <c r="X756" s="44" t="str">
        <f>IF($P756="High",$T756,IF($P756="Mix",SUMIF('High_Low Voltage Mix Summary'!$B$10:$B$17,#REF!,'High_Low Voltage Mix Summary'!$F$10:$F$17),""))</f>
        <v/>
      </c>
      <c r="Y756" s="44" t="str">
        <f>IF($P756="Low",$T756,IF($P756="Mix",SUMIF('High_Low Voltage Mix Summary'!$B$10:$B$17,#REF!,'High_Low Voltage Mix Summary'!$G$10:$G$17),""))</f>
        <v/>
      </c>
      <c r="Z756" s="44" t="str">
        <f>IF(OR($P756="High",$P756="Low"),"",IF($P756="Mix",SUMIF('High_Low Voltage Mix Summary'!$B$10:$B$17,#REF!,'High_Low Voltage Mix Summary'!$H$10:$H$17),""))</f>
        <v/>
      </c>
      <c r="AB756" s="49">
        <f>SUMIF('Antelope Bailey Split BA'!$B$7:$B$29,B756,'Antelope Bailey Split BA'!$C$7:$C$29)</f>
        <v>0</v>
      </c>
      <c r="AC756" s="49" t="str">
        <f>IF(AND(AB756=1,'Plant Total by Account'!$H$1=2),"EKWRA","")</f>
        <v/>
      </c>
    </row>
    <row r="757" spans="1:29" x14ac:dyDescent="0.2">
      <c r="A757" s="39" t="s">
        <v>3212</v>
      </c>
      <c r="B757" s="132" t="s">
        <v>882</v>
      </c>
      <c r="C757" s="40" t="s">
        <v>3333</v>
      </c>
      <c r="D757" s="53">
        <v>878.58</v>
      </c>
      <c r="E757" s="53">
        <v>8846.39</v>
      </c>
      <c r="F757" s="53">
        <v>352788.64</v>
      </c>
      <c r="G757" s="578">
        <f t="shared" si="102"/>
        <v>362513.61</v>
      </c>
      <c r="H757" s="41"/>
      <c r="I757" s="41"/>
      <c r="J757" s="41"/>
      <c r="K757" s="41">
        <f t="shared" si="104"/>
        <v>878.58</v>
      </c>
      <c r="L757" s="41">
        <f t="shared" si="105"/>
        <v>8846.39</v>
      </c>
      <c r="M757" s="41">
        <f t="shared" si="106"/>
        <v>352788.64</v>
      </c>
      <c r="N757" s="363">
        <f t="shared" si="103"/>
        <v>0</v>
      </c>
      <c r="O757" s="43" t="s">
        <v>3309</v>
      </c>
      <c r="P757" s="43"/>
      <c r="R757" s="41">
        <f t="shared" si="107"/>
        <v>0</v>
      </c>
      <c r="S757" s="41">
        <f t="shared" si="108"/>
        <v>0</v>
      </c>
      <c r="T757" s="41">
        <f t="shared" si="109"/>
        <v>0</v>
      </c>
      <c r="U757" s="41"/>
      <c r="V757" s="44" t="str">
        <f>IF($P757="High",$S757,IF($P757="Mix",SUMIF('High_Low Voltage Mix Summary'!$B$10:$B$17,$B857,'High_Low Voltage Mix Summary'!$D$10:$D$17),""))</f>
        <v/>
      </c>
      <c r="W757" s="44" t="str">
        <f>IF($P757="Low",$S757,IF($P757="Mix",SUMIF('High_Low Voltage Mix Summary'!$B$10:$B$17,$B857,'High_Low Voltage Mix Summary'!$E$10:$E$17),""))</f>
        <v/>
      </c>
      <c r="X757" s="44" t="str">
        <f>IF($P757="High",$T757,IF($P757="Mix",SUMIF('High_Low Voltage Mix Summary'!$B$10:$B$17,$B857,'High_Low Voltage Mix Summary'!$F$10:$F$17),""))</f>
        <v/>
      </c>
      <c r="Y757" s="44" t="str">
        <f>IF($P757="Low",$T757,IF($P757="Mix",SUMIF('High_Low Voltage Mix Summary'!$B$10:$B$17,$B857,'High_Low Voltage Mix Summary'!$G$10:$G$17),""))</f>
        <v/>
      </c>
      <c r="Z757" s="44" t="str">
        <f>IF(OR($P757="High",$P757="Low"),"",IF($P757="Mix",SUMIF('High_Low Voltage Mix Summary'!$B$10:$B$17,$B857,'High_Low Voltage Mix Summary'!$H$10:$H$17),""))</f>
        <v/>
      </c>
      <c r="AB757" s="49">
        <f>SUMIF('Antelope Bailey Split BA'!$B$7:$B$29,B757,'Antelope Bailey Split BA'!$C$7:$C$29)</f>
        <v>0</v>
      </c>
      <c r="AC757" s="49" t="str">
        <f>IF(AND(AB757=1,'Plant Total by Account'!$H$1=2),"EKWRA","")</f>
        <v/>
      </c>
    </row>
    <row r="758" spans="1:29" x14ac:dyDescent="0.2">
      <c r="A758" s="39" t="s">
        <v>3213</v>
      </c>
      <c r="B758" s="43" t="s">
        <v>883</v>
      </c>
      <c r="C758" s="40" t="s">
        <v>3333</v>
      </c>
      <c r="D758" s="53">
        <v>492.39</v>
      </c>
      <c r="E758" s="53">
        <v>19648.75</v>
      </c>
      <c r="F758" s="53">
        <v>569152.24999999988</v>
      </c>
      <c r="G758" s="578">
        <f t="shared" si="102"/>
        <v>589293.3899999999</v>
      </c>
      <c r="H758" s="41"/>
      <c r="I758" s="41"/>
      <c r="J758" s="41"/>
      <c r="K758" s="41">
        <f t="shared" si="104"/>
        <v>492.39</v>
      </c>
      <c r="L758" s="41">
        <f t="shared" si="105"/>
        <v>19648.75</v>
      </c>
      <c r="M758" s="41">
        <f t="shared" si="106"/>
        <v>569152.24999999988</v>
      </c>
      <c r="N758" s="363">
        <f t="shared" si="103"/>
        <v>0</v>
      </c>
      <c r="O758" s="43" t="s">
        <v>3309</v>
      </c>
      <c r="P758" s="43"/>
      <c r="R758" s="41">
        <f t="shared" si="107"/>
        <v>0</v>
      </c>
      <c r="S758" s="41">
        <f t="shared" si="108"/>
        <v>0</v>
      </c>
      <c r="T758" s="41">
        <f t="shared" si="109"/>
        <v>0</v>
      </c>
      <c r="U758" s="41"/>
      <c r="V758" s="44" t="str">
        <f>IF($P758="High",$S758,IF($P758="Mix",SUMIF('High_Low Voltage Mix Summary'!$B$10:$B$17,#REF!,'High_Low Voltage Mix Summary'!$D$10:$D$17),""))</f>
        <v/>
      </c>
      <c r="W758" s="44" t="str">
        <f>IF($P758="Low",$S758,IF($P758="Mix",SUMIF('High_Low Voltage Mix Summary'!$B$10:$B$17,#REF!,'High_Low Voltage Mix Summary'!$E$10:$E$17),""))</f>
        <v/>
      </c>
      <c r="X758" s="44" t="str">
        <f>IF($P758="High",$T758,IF($P758="Mix",SUMIF('High_Low Voltage Mix Summary'!$B$10:$B$17,#REF!,'High_Low Voltage Mix Summary'!$F$10:$F$17),""))</f>
        <v/>
      </c>
      <c r="Y758" s="44" t="str">
        <f>IF($P758="Low",$T758,IF($P758="Mix",SUMIF('High_Low Voltage Mix Summary'!$B$10:$B$17,#REF!,'High_Low Voltage Mix Summary'!$G$10:$G$17),""))</f>
        <v/>
      </c>
      <c r="Z758" s="44" t="str">
        <f>IF(OR($P758="High",$P758="Low"),"",IF($P758="Mix",SUMIF('High_Low Voltage Mix Summary'!$B$10:$B$17,#REF!,'High_Low Voltage Mix Summary'!$H$10:$H$17),""))</f>
        <v/>
      </c>
      <c r="AB758" s="49">
        <f>SUMIF('Antelope Bailey Split BA'!$B$7:$B$29,B758,'Antelope Bailey Split BA'!$C$7:$C$29)</f>
        <v>0</v>
      </c>
      <c r="AC758" s="49" t="str">
        <f>IF(AND(AB758=1,'Plant Total by Account'!$H$1=2),"EKWRA","")</f>
        <v/>
      </c>
    </row>
    <row r="759" spans="1:29" x14ac:dyDescent="0.2">
      <c r="A759" s="39" t="s">
        <v>2557</v>
      </c>
      <c r="B759" s="40" t="s">
        <v>884</v>
      </c>
      <c r="C759" s="40" t="s">
        <v>3333</v>
      </c>
      <c r="D759" s="53">
        <v>626.39</v>
      </c>
      <c r="E759" s="53">
        <v>277.75</v>
      </c>
      <c r="F759" s="53">
        <v>335831.28</v>
      </c>
      <c r="G759" s="578">
        <f t="shared" si="102"/>
        <v>336735.42000000004</v>
      </c>
      <c r="H759" s="41"/>
      <c r="I759" s="41"/>
      <c r="J759" s="41"/>
      <c r="K759" s="41">
        <f t="shared" si="104"/>
        <v>626.39</v>
      </c>
      <c r="L759" s="41">
        <f t="shared" si="105"/>
        <v>277.75</v>
      </c>
      <c r="M759" s="41">
        <f t="shared" si="106"/>
        <v>335831.28</v>
      </c>
      <c r="N759" s="363">
        <f t="shared" si="103"/>
        <v>0</v>
      </c>
      <c r="O759" s="43" t="s">
        <v>3309</v>
      </c>
      <c r="P759" s="43"/>
      <c r="R759" s="41">
        <f t="shared" si="107"/>
        <v>0</v>
      </c>
      <c r="S759" s="41">
        <f t="shared" si="108"/>
        <v>0</v>
      </c>
      <c r="T759" s="41">
        <f t="shared" si="109"/>
        <v>0</v>
      </c>
      <c r="U759" s="41"/>
      <c r="V759" s="44" t="str">
        <f>IF($P759="High",$S759,IF($P759="Mix",SUMIF('High_Low Voltage Mix Summary'!$B$10:$B$17,#REF!,'High_Low Voltage Mix Summary'!$D$10:$D$17),""))</f>
        <v/>
      </c>
      <c r="W759" s="44" t="str">
        <f>IF($P759="Low",$S759,IF($P759="Mix",SUMIF('High_Low Voltage Mix Summary'!$B$10:$B$17,#REF!,'High_Low Voltage Mix Summary'!$E$10:$E$17),""))</f>
        <v/>
      </c>
      <c r="X759" s="44" t="str">
        <f>IF($P759="High",$T759,IF($P759="Mix",SUMIF('High_Low Voltage Mix Summary'!$B$10:$B$17,#REF!,'High_Low Voltage Mix Summary'!$F$10:$F$17),""))</f>
        <v/>
      </c>
      <c r="Y759" s="44" t="str">
        <f>IF($P759="Low",$T759,IF($P759="Mix",SUMIF('High_Low Voltage Mix Summary'!$B$10:$B$17,#REF!,'High_Low Voltage Mix Summary'!$G$10:$G$17),""))</f>
        <v/>
      </c>
      <c r="Z759" s="44" t="str">
        <f>IF(OR($P759="High",$P759="Low"),"",IF($P759="Mix",SUMIF('High_Low Voltage Mix Summary'!$B$10:$B$17,#REF!,'High_Low Voltage Mix Summary'!$H$10:$H$17),""))</f>
        <v/>
      </c>
      <c r="AB759" s="49">
        <f>SUMIF('Antelope Bailey Split BA'!$B$7:$B$29,B759,'Antelope Bailey Split BA'!$C$7:$C$29)</f>
        <v>0</v>
      </c>
      <c r="AC759" s="49" t="str">
        <f>IF(AND(AB759=1,'Plant Total by Account'!$H$1=2),"EKWRA","")</f>
        <v/>
      </c>
    </row>
    <row r="760" spans="1:29" x14ac:dyDescent="0.2">
      <c r="A760" s="39" t="s">
        <v>3214</v>
      </c>
      <c r="B760" s="45" t="s">
        <v>885</v>
      </c>
      <c r="C760" s="40" t="s">
        <v>3333</v>
      </c>
      <c r="D760" s="53">
        <v>0</v>
      </c>
      <c r="E760" s="53">
        <v>5148.4900000000007</v>
      </c>
      <c r="F760" s="53">
        <v>353019.2</v>
      </c>
      <c r="G760" s="578">
        <f t="shared" si="102"/>
        <v>358167.69</v>
      </c>
      <c r="H760" s="41"/>
      <c r="I760" s="41"/>
      <c r="J760" s="41"/>
      <c r="K760" s="41">
        <f t="shared" si="104"/>
        <v>0</v>
      </c>
      <c r="L760" s="41">
        <f t="shared" si="105"/>
        <v>5148.4900000000007</v>
      </c>
      <c r="M760" s="41">
        <f t="shared" si="106"/>
        <v>353019.2</v>
      </c>
      <c r="N760" s="363">
        <f t="shared" si="103"/>
        <v>0</v>
      </c>
      <c r="O760" s="43" t="s">
        <v>3309</v>
      </c>
      <c r="P760" s="43"/>
      <c r="R760" s="41">
        <f t="shared" si="107"/>
        <v>0</v>
      </c>
      <c r="S760" s="41">
        <f t="shared" si="108"/>
        <v>0</v>
      </c>
      <c r="T760" s="41">
        <f t="shared" si="109"/>
        <v>0</v>
      </c>
      <c r="U760" s="41"/>
      <c r="V760" s="44" t="str">
        <f>IF($P760="High",$S760,IF($P760="Mix",SUMIF('High_Low Voltage Mix Summary'!$B$10:$B$17,#REF!,'High_Low Voltage Mix Summary'!$D$10:$D$17),""))</f>
        <v/>
      </c>
      <c r="W760" s="44" t="str">
        <f>IF($P760="Low",$S760,IF($P760="Mix",SUMIF('High_Low Voltage Mix Summary'!$B$10:$B$17,#REF!,'High_Low Voltage Mix Summary'!$E$10:$E$17),""))</f>
        <v/>
      </c>
      <c r="X760" s="44" t="str">
        <f>IF($P760="High",$T760,IF($P760="Mix",SUMIF('High_Low Voltage Mix Summary'!$B$10:$B$17,#REF!,'High_Low Voltage Mix Summary'!$F$10:$F$17),""))</f>
        <v/>
      </c>
      <c r="Y760" s="44" t="str">
        <f>IF($P760="Low",$T760,IF($P760="Mix",SUMIF('High_Low Voltage Mix Summary'!$B$10:$B$17,#REF!,'High_Low Voltage Mix Summary'!$G$10:$G$17),""))</f>
        <v/>
      </c>
      <c r="Z760" s="44" t="str">
        <f>IF(OR($P760="High",$P760="Low"),"",IF($P760="Mix",SUMIF('High_Low Voltage Mix Summary'!$B$10:$B$17,#REF!,'High_Low Voltage Mix Summary'!$H$10:$H$17),""))</f>
        <v/>
      </c>
      <c r="AB760" s="49">
        <f>SUMIF('Antelope Bailey Split BA'!$B$7:$B$29,B760,'Antelope Bailey Split BA'!$C$7:$C$29)</f>
        <v>0</v>
      </c>
      <c r="AC760" s="49" t="str">
        <f>IF(AND(AB760=1,'Plant Total by Account'!$H$1=2),"EKWRA","")</f>
        <v/>
      </c>
    </row>
    <row r="761" spans="1:29" x14ac:dyDescent="0.2">
      <c r="A761" s="39" t="s">
        <v>2558</v>
      </c>
      <c r="B761" s="45" t="s">
        <v>886</v>
      </c>
      <c r="C761" s="40" t="s">
        <v>3333</v>
      </c>
      <c r="D761" s="53">
        <v>47783.43</v>
      </c>
      <c r="E761" s="53">
        <v>47640.5</v>
      </c>
      <c r="F761" s="53">
        <v>1012700.6400000001</v>
      </c>
      <c r="G761" s="578">
        <f t="shared" si="102"/>
        <v>1108124.57</v>
      </c>
      <c r="H761" s="41"/>
      <c r="I761" s="41"/>
      <c r="J761" s="41"/>
      <c r="K761" s="41">
        <f t="shared" si="104"/>
        <v>47783.43</v>
      </c>
      <c r="L761" s="41">
        <f t="shared" si="105"/>
        <v>47640.5</v>
      </c>
      <c r="M761" s="41">
        <f t="shared" si="106"/>
        <v>1012700.6400000001</v>
      </c>
      <c r="N761" s="363">
        <f t="shared" si="103"/>
        <v>0</v>
      </c>
      <c r="O761" s="43" t="s">
        <v>3309</v>
      </c>
      <c r="P761" s="43"/>
      <c r="R761" s="41">
        <f t="shared" si="107"/>
        <v>0</v>
      </c>
      <c r="S761" s="41">
        <f t="shared" si="108"/>
        <v>0</v>
      </c>
      <c r="T761" s="41">
        <f t="shared" si="109"/>
        <v>0</v>
      </c>
      <c r="U761" s="41"/>
      <c r="V761" s="44" t="str">
        <f>IF($P761="High",$S761,IF($P761="Mix",SUMIF('High_Low Voltage Mix Summary'!$B$10:$B$17,#REF!,'High_Low Voltage Mix Summary'!$D$10:$D$17),""))</f>
        <v/>
      </c>
      <c r="W761" s="44" t="str">
        <f>IF($P761="Low",$S761,IF($P761="Mix",SUMIF('High_Low Voltage Mix Summary'!$B$10:$B$17,#REF!,'High_Low Voltage Mix Summary'!$E$10:$E$17),""))</f>
        <v/>
      </c>
      <c r="X761" s="44" t="str">
        <f>IF($P761="High",$T761,IF($P761="Mix",SUMIF('High_Low Voltage Mix Summary'!$B$10:$B$17,#REF!,'High_Low Voltage Mix Summary'!$F$10:$F$17),""))</f>
        <v/>
      </c>
      <c r="Y761" s="44" t="str">
        <f>IF($P761="Low",$T761,IF($P761="Mix",SUMIF('High_Low Voltage Mix Summary'!$B$10:$B$17,#REF!,'High_Low Voltage Mix Summary'!$G$10:$G$17),""))</f>
        <v/>
      </c>
      <c r="Z761" s="44" t="str">
        <f>IF(OR($P761="High",$P761="Low"),"",IF($P761="Mix",SUMIF('High_Low Voltage Mix Summary'!$B$10:$B$17,#REF!,'High_Low Voltage Mix Summary'!$H$10:$H$17),""))</f>
        <v/>
      </c>
      <c r="AB761" s="49">
        <f>SUMIF('Antelope Bailey Split BA'!$B$7:$B$29,B761,'Antelope Bailey Split BA'!$C$7:$C$29)</f>
        <v>0</v>
      </c>
      <c r="AC761" s="49" t="str">
        <f>IF(AND(AB761=1,'Plant Total by Account'!$H$1=2),"EKWRA","")</f>
        <v/>
      </c>
    </row>
    <row r="762" spans="1:29" x14ac:dyDescent="0.2">
      <c r="A762" s="39" t="s">
        <v>3215</v>
      </c>
      <c r="B762" s="45" t="s">
        <v>887</v>
      </c>
      <c r="C762" s="40" t="s">
        <v>3333</v>
      </c>
      <c r="D762" s="53">
        <v>791.84</v>
      </c>
      <c r="E762" s="53">
        <v>161620.36000000002</v>
      </c>
      <c r="F762" s="53">
        <v>3504223.97</v>
      </c>
      <c r="G762" s="578">
        <f t="shared" si="102"/>
        <v>3666636.1700000004</v>
      </c>
      <c r="H762" s="41"/>
      <c r="I762" s="41"/>
      <c r="J762" s="41"/>
      <c r="K762" s="41">
        <f t="shared" si="104"/>
        <v>791.84</v>
      </c>
      <c r="L762" s="41">
        <f t="shared" si="105"/>
        <v>161620.36000000002</v>
      </c>
      <c r="M762" s="41">
        <f t="shared" si="106"/>
        <v>3504223.97</v>
      </c>
      <c r="N762" s="363">
        <f t="shared" si="103"/>
        <v>0</v>
      </c>
      <c r="O762" s="43" t="s">
        <v>3309</v>
      </c>
      <c r="P762" s="43"/>
      <c r="R762" s="41">
        <f t="shared" si="107"/>
        <v>0</v>
      </c>
      <c r="S762" s="41">
        <f t="shared" si="108"/>
        <v>0</v>
      </c>
      <c r="T762" s="41">
        <f t="shared" si="109"/>
        <v>0</v>
      </c>
      <c r="U762" s="41"/>
      <c r="V762" s="44" t="str">
        <f>IF($P762="High",$S762,IF($P762="Mix",SUMIF('High_Low Voltage Mix Summary'!$B$10:$B$17,#REF!,'High_Low Voltage Mix Summary'!$D$10:$D$17),""))</f>
        <v/>
      </c>
      <c r="W762" s="44" t="str">
        <f>IF($P762="Low",$S762,IF($P762="Mix",SUMIF('High_Low Voltage Mix Summary'!$B$10:$B$17,#REF!,'High_Low Voltage Mix Summary'!$E$10:$E$17),""))</f>
        <v/>
      </c>
      <c r="X762" s="44" t="str">
        <f>IF($P762="High",$T762,IF($P762="Mix",SUMIF('High_Low Voltage Mix Summary'!$B$10:$B$17,#REF!,'High_Low Voltage Mix Summary'!$F$10:$F$17),""))</f>
        <v/>
      </c>
      <c r="Y762" s="44" t="str">
        <f>IF($P762="Low",$T762,IF($P762="Mix",SUMIF('High_Low Voltage Mix Summary'!$B$10:$B$17,#REF!,'High_Low Voltage Mix Summary'!$G$10:$G$17),""))</f>
        <v/>
      </c>
      <c r="Z762" s="44" t="str">
        <f>IF(OR($P762="High",$P762="Low"),"",IF($P762="Mix",SUMIF('High_Low Voltage Mix Summary'!$B$10:$B$17,#REF!,'High_Low Voltage Mix Summary'!$H$10:$H$17),""))</f>
        <v/>
      </c>
      <c r="AB762" s="49">
        <f>SUMIF('Antelope Bailey Split BA'!$B$7:$B$29,B762,'Antelope Bailey Split BA'!$C$7:$C$29)</f>
        <v>0</v>
      </c>
      <c r="AC762" s="49" t="str">
        <f>IF(AND(AB762=1,'Plant Total by Account'!$H$1=2),"EKWRA","")</f>
        <v/>
      </c>
    </row>
    <row r="763" spans="1:29" x14ac:dyDescent="0.2">
      <c r="A763" s="39" t="s">
        <v>3216</v>
      </c>
      <c r="B763" s="45" t="s">
        <v>888</v>
      </c>
      <c r="C763" s="40" t="s">
        <v>3333</v>
      </c>
      <c r="D763" s="53">
        <v>0</v>
      </c>
      <c r="E763" s="53">
        <v>0</v>
      </c>
      <c r="F763" s="53">
        <v>97299.89</v>
      </c>
      <c r="G763" s="578">
        <f t="shared" si="102"/>
        <v>97299.89</v>
      </c>
      <c r="H763" s="41"/>
      <c r="I763" s="41"/>
      <c r="J763" s="41"/>
      <c r="K763" s="41">
        <f t="shared" si="104"/>
        <v>0</v>
      </c>
      <c r="L763" s="41">
        <f t="shared" si="105"/>
        <v>0</v>
      </c>
      <c r="M763" s="41">
        <f t="shared" si="106"/>
        <v>97299.89</v>
      </c>
      <c r="N763" s="363">
        <f t="shared" si="103"/>
        <v>0</v>
      </c>
      <c r="O763" s="43" t="s">
        <v>3309</v>
      </c>
      <c r="P763" s="43"/>
      <c r="R763" s="41">
        <f t="shared" si="107"/>
        <v>0</v>
      </c>
      <c r="S763" s="41">
        <f t="shared" si="108"/>
        <v>0</v>
      </c>
      <c r="T763" s="41">
        <f t="shared" si="109"/>
        <v>0</v>
      </c>
      <c r="U763" s="41"/>
      <c r="V763" s="44" t="str">
        <f>IF($P763="High",$S763,IF($P763="Mix",SUMIF('High_Low Voltage Mix Summary'!$B$10:$B$17,#REF!,'High_Low Voltage Mix Summary'!$D$10:$D$17),""))</f>
        <v/>
      </c>
      <c r="W763" s="44" t="str">
        <f>IF($P763="Low",$S763,IF($P763="Mix",SUMIF('High_Low Voltage Mix Summary'!$B$10:$B$17,#REF!,'High_Low Voltage Mix Summary'!$E$10:$E$17),""))</f>
        <v/>
      </c>
      <c r="X763" s="44" t="str">
        <f>IF($P763="High",$T763,IF($P763="Mix",SUMIF('High_Low Voltage Mix Summary'!$B$10:$B$17,#REF!,'High_Low Voltage Mix Summary'!$F$10:$F$17),""))</f>
        <v/>
      </c>
      <c r="Y763" s="44" t="str">
        <f>IF($P763="Low",$T763,IF($P763="Mix",SUMIF('High_Low Voltage Mix Summary'!$B$10:$B$17,#REF!,'High_Low Voltage Mix Summary'!$G$10:$G$17),""))</f>
        <v/>
      </c>
      <c r="Z763" s="44" t="str">
        <f>IF(OR($P763="High",$P763="Low"),"",IF($P763="Mix",SUMIF('High_Low Voltage Mix Summary'!$B$10:$B$17,#REF!,'High_Low Voltage Mix Summary'!$H$10:$H$17),""))</f>
        <v/>
      </c>
      <c r="AB763" s="49">
        <f>SUMIF('Antelope Bailey Split BA'!$B$7:$B$29,B763,'Antelope Bailey Split BA'!$C$7:$C$29)</f>
        <v>0</v>
      </c>
      <c r="AC763" s="49" t="str">
        <f>IF(AND(AB763=1,'Plant Total by Account'!$H$1=2),"EKWRA","")</f>
        <v/>
      </c>
    </row>
    <row r="764" spans="1:29" x14ac:dyDescent="0.2">
      <c r="A764" s="39" t="s">
        <v>3217</v>
      </c>
      <c r="B764" s="45" t="s">
        <v>889</v>
      </c>
      <c r="C764" s="40" t="s">
        <v>3333</v>
      </c>
      <c r="D764" s="53">
        <v>19369.740000000002</v>
      </c>
      <c r="E764" s="53">
        <v>76655.34</v>
      </c>
      <c r="F764" s="53">
        <v>1418139.9800000002</v>
      </c>
      <c r="G764" s="578">
        <f t="shared" si="102"/>
        <v>1514165.0600000003</v>
      </c>
      <c r="H764" s="41"/>
      <c r="I764" s="41"/>
      <c r="J764" s="41"/>
      <c r="K764" s="41">
        <f t="shared" si="104"/>
        <v>19369.740000000002</v>
      </c>
      <c r="L764" s="41">
        <f t="shared" si="105"/>
        <v>76655.34</v>
      </c>
      <c r="M764" s="41">
        <f t="shared" si="106"/>
        <v>1418139.9800000002</v>
      </c>
      <c r="N764" s="363">
        <f t="shared" si="103"/>
        <v>0</v>
      </c>
      <c r="O764" s="43" t="s">
        <v>3309</v>
      </c>
      <c r="P764" s="43"/>
      <c r="R764" s="41">
        <f t="shared" si="107"/>
        <v>0</v>
      </c>
      <c r="S764" s="41">
        <f t="shared" si="108"/>
        <v>0</v>
      </c>
      <c r="T764" s="41">
        <f t="shared" si="109"/>
        <v>0</v>
      </c>
      <c r="U764" s="41"/>
      <c r="V764" s="44" t="str">
        <f>IF($P764="High",$S764,IF($P764="Mix",SUMIF('High_Low Voltage Mix Summary'!$B$10:$B$17,#REF!,'High_Low Voltage Mix Summary'!$D$10:$D$17),""))</f>
        <v/>
      </c>
      <c r="W764" s="44" t="str">
        <f>IF($P764="Low",$S764,IF($P764="Mix",SUMIF('High_Low Voltage Mix Summary'!$B$10:$B$17,#REF!,'High_Low Voltage Mix Summary'!$E$10:$E$17),""))</f>
        <v/>
      </c>
      <c r="X764" s="44" t="str">
        <f>IF($P764="High",$T764,IF($P764="Mix",SUMIF('High_Low Voltage Mix Summary'!$B$10:$B$17,#REF!,'High_Low Voltage Mix Summary'!$F$10:$F$17),""))</f>
        <v/>
      </c>
      <c r="Y764" s="44" t="str">
        <f>IF($P764="Low",$T764,IF($P764="Mix",SUMIF('High_Low Voltage Mix Summary'!$B$10:$B$17,#REF!,'High_Low Voltage Mix Summary'!$G$10:$G$17),""))</f>
        <v/>
      </c>
      <c r="Z764" s="44" t="str">
        <f>IF(OR($P764="High",$P764="Low"),"",IF($P764="Mix",SUMIF('High_Low Voltage Mix Summary'!$B$10:$B$17,#REF!,'High_Low Voltage Mix Summary'!$H$10:$H$17),""))</f>
        <v/>
      </c>
      <c r="AB764" s="49">
        <f>SUMIF('Antelope Bailey Split BA'!$B$7:$B$29,B764,'Antelope Bailey Split BA'!$C$7:$C$29)</f>
        <v>0</v>
      </c>
      <c r="AC764" s="49" t="str">
        <f>IF(AND(AB764=1,'Plant Total by Account'!$H$1=2),"EKWRA","")</f>
        <v/>
      </c>
    </row>
    <row r="765" spans="1:29" x14ac:dyDescent="0.2">
      <c r="A765" s="39" t="s">
        <v>2559</v>
      </c>
      <c r="B765" s="45" t="s">
        <v>895</v>
      </c>
      <c r="C765" s="40" t="s">
        <v>3333</v>
      </c>
      <c r="D765" s="53">
        <v>5113.45</v>
      </c>
      <c r="E765" s="53">
        <v>18375.66</v>
      </c>
      <c r="F765" s="53">
        <v>2598343.6099999994</v>
      </c>
      <c r="G765" s="578">
        <f t="shared" si="102"/>
        <v>2621832.7199999993</v>
      </c>
      <c r="H765" s="41"/>
      <c r="I765" s="41"/>
      <c r="J765" s="41"/>
      <c r="K765" s="41">
        <f t="shared" si="104"/>
        <v>5113.45</v>
      </c>
      <c r="L765" s="41">
        <f t="shared" si="105"/>
        <v>18375.66</v>
      </c>
      <c r="M765" s="41">
        <f t="shared" si="106"/>
        <v>2598343.6099999994</v>
      </c>
      <c r="N765" s="363">
        <f t="shared" si="103"/>
        <v>0</v>
      </c>
      <c r="O765" s="43" t="s">
        <v>3309</v>
      </c>
      <c r="P765" s="43"/>
      <c r="R765" s="41">
        <f t="shared" si="107"/>
        <v>0</v>
      </c>
      <c r="S765" s="41">
        <f t="shared" si="108"/>
        <v>0</v>
      </c>
      <c r="T765" s="41">
        <f t="shared" si="109"/>
        <v>0</v>
      </c>
      <c r="U765" s="41"/>
      <c r="V765" s="44" t="str">
        <f>IF($P765="High",$S765,IF($P765="Mix",SUMIF('High_Low Voltage Mix Summary'!$B$10:$B$17,$B509,'High_Low Voltage Mix Summary'!$D$10:$D$17),""))</f>
        <v/>
      </c>
      <c r="W765" s="44" t="str">
        <f>IF($P765="Low",$S765,IF($P765="Mix",SUMIF('High_Low Voltage Mix Summary'!$B$10:$B$17,$B509,'High_Low Voltage Mix Summary'!$E$10:$E$17),""))</f>
        <v/>
      </c>
      <c r="X765" s="44" t="str">
        <f>IF($P765="High",$T765,IF($P765="Mix",SUMIF('High_Low Voltage Mix Summary'!$B$10:$B$17,$B509,'High_Low Voltage Mix Summary'!$F$10:$F$17),""))</f>
        <v/>
      </c>
      <c r="Y765" s="44" t="str">
        <f>IF($P765="Low",$T765,IF($P765="Mix",SUMIF('High_Low Voltage Mix Summary'!$B$10:$B$17,$B509,'High_Low Voltage Mix Summary'!$G$10:$G$17),""))</f>
        <v/>
      </c>
      <c r="Z765" s="44" t="str">
        <f>IF(OR($P765="High",$P765="Low"),"",IF($P765="Mix",SUMIF('High_Low Voltage Mix Summary'!$B$10:$B$17,$B509,'High_Low Voltage Mix Summary'!$H$10:$H$17),""))</f>
        <v/>
      </c>
      <c r="AB765" s="49">
        <f>SUMIF('Antelope Bailey Split BA'!$B$7:$B$29,B765,'Antelope Bailey Split BA'!$C$7:$C$29)</f>
        <v>0</v>
      </c>
      <c r="AC765" s="49" t="str">
        <f>IF(AND(AB765=1,'Plant Total by Account'!$H$1=2),"EKWRA","")</f>
        <v/>
      </c>
    </row>
    <row r="766" spans="1:29" x14ac:dyDescent="0.2">
      <c r="A766" s="39" t="s">
        <v>3218</v>
      </c>
      <c r="B766" s="45" t="s">
        <v>896</v>
      </c>
      <c r="C766" s="40" t="s">
        <v>3333</v>
      </c>
      <c r="D766" s="53">
        <v>541.76</v>
      </c>
      <c r="E766" s="53">
        <v>0</v>
      </c>
      <c r="F766" s="53">
        <v>0</v>
      </c>
      <c r="G766" s="578">
        <f t="shared" si="102"/>
        <v>541.76</v>
      </c>
      <c r="H766" s="41"/>
      <c r="I766" s="41"/>
      <c r="J766" s="41"/>
      <c r="K766" s="41">
        <f t="shared" si="104"/>
        <v>541.76</v>
      </c>
      <c r="L766" s="41">
        <f t="shared" si="105"/>
        <v>0</v>
      </c>
      <c r="M766" s="41">
        <f t="shared" si="106"/>
        <v>0</v>
      </c>
      <c r="N766" s="363">
        <f t="shared" si="103"/>
        <v>0</v>
      </c>
      <c r="O766" s="43" t="s">
        <v>3309</v>
      </c>
      <c r="P766" s="43"/>
      <c r="R766" s="41">
        <f t="shared" si="107"/>
        <v>0</v>
      </c>
      <c r="S766" s="41">
        <f t="shared" si="108"/>
        <v>0</v>
      </c>
      <c r="T766" s="41">
        <f t="shared" si="109"/>
        <v>0</v>
      </c>
      <c r="U766" s="41"/>
      <c r="V766" s="44" t="str">
        <f>IF($P766="High",$S766,IF($P766="Mix",SUMIF('High_Low Voltage Mix Summary'!$B$10:$B$17,$B510,'High_Low Voltage Mix Summary'!$D$10:$D$17),""))</f>
        <v/>
      </c>
      <c r="W766" s="44" t="str">
        <f>IF($P766="Low",$S766,IF($P766="Mix",SUMIF('High_Low Voltage Mix Summary'!$B$10:$B$17,$B510,'High_Low Voltage Mix Summary'!$E$10:$E$17),""))</f>
        <v/>
      </c>
      <c r="X766" s="44" t="str">
        <f>IF($P766="High",$T766,IF($P766="Mix",SUMIF('High_Low Voltage Mix Summary'!$B$10:$B$17,$B510,'High_Low Voltage Mix Summary'!$F$10:$F$17),""))</f>
        <v/>
      </c>
      <c r="Y766" s="44" t="str">
        <f>IF($P766="Low",$T766,IF($P766="Mix",SUMIF('High_Low Voltage Mix Summary'!$B$10:$B$17,$B510,'High_Low Voltage Mix Summary'!$G$10:$G$17),""))</f>
        <v/>
      </c>
      <c r="Z766" s="44" t="str">
        <f>IF(OR($P766="High",$P766="Low"),"",IF($P766="Mix",SUMIF('High_Low Voltage Mix Summary'!$B$10:$B$17,$B510,'High_Low Voltage Mix Summary'!$H$10:$H$17),""))</f>
        <v/>
      </c>
      <c r="AB766" s="49">
        <f>SUMIF('Antelope Bailey Split BA'!$B$7:$B$29,B766,'Antelope Bailey Split BA'!$C$7:$C$29)</f>
        <v>0</v>
      </c>
      <c r="AC766" s="49" t="str">
        <f>IF(AND(AB766=1,'Plant Total by Account'!$H$1=2),"EKWRA","")</f>
        <v/>
      </c>
    </row>
    <row r="767" spans="1:29" x14ac:dyDescent="0.2">
      <c r="A767" s="39" t="s">
        <v>2560</v>
      </c>
      <c r="B767" s="132" t="s">
        <v>897</v>
      </c>
      <c r="C767" s="40" t="s">
        <v>3333</v>
      </c>
      <c r="D767" s="53">
        <v>18851.23</v>
      </c>
      <c r="E767" s="53">
        <v>171144.01</v>
      </c>
      <c r="F767" s="53">
        <v>1659224.5599999994</v>
      </c>
      <c r="G767" s="578">
        <f t="shared" si="102"/>
        <v>1849219.7999999993</v>
      </c>
      <c r="H767" s="41"/>
      <c r="I767" s="41"/>
      <c r="J767" s="41"/>
      <c r="K767" s="41">
        <f t="shared" si="104"/>
        <v>18851.23</v>
      </c>
      <c r="L767" s="41">
        <f t="shared" si="105"/>
        <v>171144.01</v>
      </c>
      <c r="M767" s="41">
        <f t="shared" si="106"/>
        <v>1659224.5599999994</v>
      </c>
      <c r="N767" s="363">
        <f t="shared" si="103"/>
        <v>0</v>
      </c>
      <c r="O767" s="43" t="s">
        <v>3309</v>
      </c>
      <c r="P767" s="43"/>
      <c r="R767" s="41">
        <f t="shared" si="107"/>
        <v>0</v>
      </c>
      <c r="S767" s="41">
        <f t="shared" si="108"/>
        <v>0</v>
      </c>
      <c r="T767" s="41">
        <f t="shared" si="109"/>
        <v>0</v>
      </c>
      <c r="U767" s="41"/>
      <c r="V767" s="44" t="str">
        <f>IF($P767="High",$S767,IF($P767="Mix",SUMIF('High_Low Voltage Mix Summary'!$B$10:$B$17,$B810,'High_Low Voltage Mix Summary'!$D$10:$D$17),""))</f>
        <v/>
      </c>
      <c r="W767" s="44" t="str">
        <f>IF($P767="Low",$S767,IF($P767="Mix",SUMIF('High_Low Voltage Mix Summary'!$B$10:$B$17,$B810,'High_Low Voltage Mix Summary'!$E$10:$E$17),""))</f>
        <v/>
      </c>
      <c r="X767" s="44" t="str">
        <f>IF($P767="High",$T767,IF($P767="Mix",SUMIF('High_Low Voltage Mix Summary'!$B$10:$B$17,$B810,'High_Low Voltage Mix Summary'!$F$10:$F$17),""))</f>
        <v/>
      </c>
      <c r="Y767" s="44" t="str">
        <f>IF($P767="Low",$T767,IF($P767="Mix",SUMIF('High_Low Voltage Mix Summary'!$B$10:$B$17,$B810,'High_Low Voltage Mix Summary'!$G$10:$G$17),""))</f>
        <v/>
      </c>
      <c r="Z767" s="44" t="str">
        <f>IF(OR($P767="High",$P767="Low"),"",IF($P767="Mix",SUMIF('High_Low Voltage Mix Summary'!$B$10:$B$17,$B810,'High_Low Voltage Mix Summary'!$H$10:$H$17),""))</f>
        <v/>
      </c>
      <c r="AB767" s="49">
        <f>SUMIF('Antelope Bailey Split BA'!$B$7:$B$29,B767,'Antelope Bailey Split BA'!$C$7:$C$29)</f>
        <v>0</v>
      </c>
      <c r="AC767" s="49" t="str">
        <f>IF(AND(AB767=1,'Plant Total by Account'!$H$1=2),"EKWRA","")</f>
        <v/>
      </c>
    </row>
    <row r="768" spans="1:29" x14ac:dyDescent="0.2">
      <c r="A768" s="39" t="s">
        <v>2561</v>
      </c>
      <c r="B768" s="45" t="s">
        <v>898</v>
      </c>
      <c r="C768" s="40" t="s">
        <v>3333</v>
      </c>
      <c r="D768" s="53">
        <v>1321.59</v>
      </c>
      <c r="E768" s="53">
        <v>10701.630000000001</v>
      </c>
      <c r="F768" s="53">
        <v>275604.84000000003</v>
      </c>
      <c r="G768" s="578">
        <f t="shared" si="102"/>
        <v>287628.06000000006</v>
      </c>
      <c r="H768" s="41"/>
      <c r="I768" s="41"/>
      <c r="J768" s="41"/>
      <c r="K768" s="41">
        <f t="shared" si="104"/>
        <v>1321.59</v>
      </c>
      <c r="L768" s="41">
        <f t="shared" si="105"/>
        <v>10701.630000000001</v>
      </c>
      <c r="M768" s="41">
        <f t="shared" si="106"/>
        <v>275604.84000000003</v>
      </c>
      <c r="N768" s="363">
        <f t="shared" si="103"/>
        <v>0</v>
      </c>
      <c r="O768" s="43" t="s">
        <v>3309</v>
      </c>
      <c r="P768" s="43"/>
      <c r="R768" s="41">
        <f t="shared" si="107"/>
        <v>0</v>
      </c>
      <c r="S768" s="41">
        <f t="shared" si="108"/>
        <v>0</v>
      </c>
      <c r="T768" s="41">
        <f t="shared" si="109"/>
        <v>0</v>
      </c>
      <c r="U768" s="41"/>
      <c r="V768" s="44" t="str">
        <f>IF($P768="High",$S768,IF($P768="Mix",SUMIF('High_Low Voltage Mix Summary'!$B$10:$B$17,$B511,'High_Low Voltage Mix Summary'!$D$10:$D$17),""))</f>
        <v/>
      </c>
      <c r="W768" s="44" t="str">
        <f>IF($P768="Low",$S768,IF($P768="Mix",SUMIF('High_Low Voltage Mix Summary'!$B$10:$B$17,$B511,'High_Low Voltage Mix Summary'!$E$10:$E$17),""))</f>
        <v/>
      </c>
      <c r="X768" s="44" t="str">
        <f>IF($P768="High",$T768,IF($P768="Mix",SUMIF('High_Low Voltage Mix Summary'!$B$10:$B$17,$B511,'High_Low Voltage Mix Summary'!$F$10:$F$17),""))</f>
        <v/>
      </c>
      <c r="Y768" s="44" t="str">
        <f>IF($P768="Low",$T768,IF($P768="Mix",SUMIF('High_Low Voltage Mix Summary'!$B$10:$B$17,$B511,'High_Low Voltage Mix Summary'!$G$10:$G$17),""))</f>
        <v/>
      </c>
      <c r="Z768" s="44" t="str">
        <f>IF(OR($P768="High",$P768="Low"),"",IF($P768="Mix",SUMIF('High_Low Voltage Mix Summary'!$B$10:$B$17,$B511,'High_Low Voltage Mix Summary'!$H$10:$H$17),""))</f>
        <v/>
      </c>
      <c r="AB768" s="49">
        <f>SUMIF('Antelope Bailey Split BA'!$B$7:$B$29,B768,'Antelope Bailey Split BA'!$C$7:$C$29)</f>
        <v>0</v>
      </c>
      <c r="AC768" s="49" t="str">
        <f>IF(AND(AB768=1,'Plant Total by Account'!$H$1=2),"EKWRA","")</f>
        <v/>
      </c>
    </row>
    <row r="769" spans="1:29" x14ac:dyDescent="0.2">
      <c r="A769" s="39" t="s">
        <v>2562</v>
      </c>
      <c r="B769" s="45" t="s">
        <v>899</v>
      </c>
      <c r="C769" s="40" t="s">
        <v>3333</v>
      </c>
      <c r="D769" s="53">
        <v>1642.02</v>
      </c>
      <c r="E769" s="53">
        <v>14557.04</v>
      </c>
      <c r="F769" s="53">
        <v>361901.52</v>
      </c>
      <c r="G769" s="578">
        <f t="shared" si="102"/>
        <v>378100.58</v>
      </c>
      <c r="H769" s="41"/>
      <c r="I769" s="41"/>
      <c r="J769" s="41"/>
      <c r="K769" s="41">
        <f t="shared" si="104"/>
        <v>1642.02</v>
      </c>
      <c r="L769" s="41">
        <f t="shared" si="105"/>
        <v>14557.04</v>
      </c>
      <c r="M769" s="41">
        <f t="shared" si="106"/>
        <v>361901.52</v>
      </c>
      <c r="N769" s="363">
        <f t="shared" si="103"/>
        <v>0</v>
      </c>
      <c r="O769" s="43" t="s">
        <v>3309</v>
      </c>
      <c r="P769" s="43"/>
      <c r="R769" s="41">
        <f t="shared" si="107"/>
        <v>0</v>
      </c>
      <c r="S769" s="41">
        <f t="shared" si="108"/>
        <v>0</v>
      </c>
      <c r="T769" s="41">
        <f t="shared" si="109"/>
        <v>0</v>
      </c>
      <c r="U769" s="41"/>
      <c r="V769" s="44" t="str">
        <f>IF($P769="High",$S769,IF($P769="Mix",SUMIF('High_Low Voltage Mix Summary'!$B$10:$B$17,$B512,'High_Low Voltage Mix Summary'!$D$10:$D$17),""))</f>
        <v/>
      </c>
      <c r="W769" s="44" t="str">
        <f>IF($P769="Low",$S769,IF($P769="Mix",SUMIF('High_Low Voltage Mix Summary'!$B$10:$B$17,$B512,'High_Low Voltage Mix Summary'!$E$10:$E$17),""))</f>
        <v/>
      </c>
      <c r="X769" s="44" t="str">
        <f>IF($P769="High",$T769,IF($P769="Mix",SUMIF('High_Low Voltage Mix Summary'!$B$10:$B$17,$B512,'High_Low Voltage Mix Summary'!$F$10:$F$17),""))</f>
        <v/>
      </c>
      <c r="Y769" s="44" t="str">
        <f>IF($P769="Low",$T769,IF($P769="Mix",SUMIF('High_Low Voltage Mix Summary'!$B$10:$B$17,$B512,'High_Low Voltage Mix Summary'!$G$10:$G$17),""))</f>
        <v/>
      </c>
      <c r="Z769" s="44" t="str">
        <f>IF(OR($P769="High",$P769="Low"),"",IF($P769="Mix",SUMIF('High_Low Voltage Mix Summary'!$B$10:$B$17,$B512,'High_Low Voltage Mix Summary'!$H$10:$H$17),""))</f>
        <v/>
      </c>
      <c r="AB769" s="49">
        <f>SUMIF('Antelope Bailey Split BA'!$B$7:$B$29,B769,'Antelope Bailey Split BA'!$C$7:$C$29)</f>
        <v>0</v>
      </c>
      <c r="AC769" s="49" t="str">
        <f>IF(AND(AB769=1,'Plant Total by Account'!$H$1=2),"EKWRA","")</f>
        <v/>
      </c>
    </row>
    <row r="770" spans="1:29" x14ac:dyDescent="0.2">
      <c r="A770" s="39" t="s">
        <v>3219</v>
      </c>
      <c r="B770" s="45" t="s">
        <v>900</v>
      </c>
      <c r="C770" s="40" t="s">
        <v>3333</v>
      </c>
      <c r="D770" s="53">
        <v>14356.130000000001</v>
      </c>
      <c r="E770" s="53">
        <v>16380.900000000001</v>
      </c>
      <c r="F770" s="53">
        <v>544296.75000000012</v>
      </c>
      <c r="G770" s="578">
        <f t="shared" si="102"/>
        <v>575033.78000000014</v>
      </c>
      <c r="H770" s="41"/>
      <c r="I770" s="41"/>
      <c r="J770" s="41"/>
      <c r="K770" s="41">
        <f t="shared" si="104"/>
        <v>14356.130000000001</v>
      </c>
      <c r="L770" s="41">
        <f t="shared" si="105"/>
        <v>16380.900000000001</v>
      </c>
      <c r="M770" s="41">
        <f t="shared" si="106"/>
        <v>544296.75000000012</v>
      </c>
      <c r="N770" s="363">
        <f t="shared" si="103"/>
        <v>0</v>
      </c>
      <c r="O770" s="43" t="s">
        <v>3309</v>
      </c>
      <c r="P770" s="43"/>
      <c r="R770" s="41">
        <f t="shared" si="107"/>
        <v>0</v>
      </c>
      <c r="S770" s="41">
        <f t="shared" si="108"/>
        <v>0</v>
      </c>
      <c r="T770" s="41">
        <f t="shared" si="109"/>
        <v>0</v>
      </c>
      <c r="U770" s="41"/>
      <c r="V770" s="44" t="str">
        <f>IF($P770="High",$S770,IF($P770="Mix",SUMIF('High_Low Voltage Mix Summary'!$B$10:$B$17,$B513,'High_Low Voltage Mix Summary'!$D$10:$D$17),""))</f>
        <v/>
      </c>
      <c r="W770" s="44" t="str">
        <f>IF($P770="Low",$S770,IF($P770="Mix",SUMIF('High_Low Voltage Mix Summary'!$B$10:$B$17,$B513,'High_Low Voltage Mix Summary'!$E$10:$E$17),""))</f>
        <v/>
      </c>
      <c r="X770" s="44" t="str">
        <f>IF($P770="High",$T770,IF($P770="Mix",SUMIF('High_Low Voltage Mix Summary'!$B$10:$B$17,$B513,'High_Low Voltage Mix Summary'!$F$10:$F$17),""))</f>
        <v/>
      </c>
      <c r="Y770" s="44" t="str">
        <f>IF($P770="Low",$T770,IF($P770="Mix",SUMIF('High_Low Voltage Mix Summary'!$B$10:$B$17,$B513,'High_Low Voltage Mix Summary'!$G$10:$G$17),""))</f>
        <v/>
      </c>
      <c r="Z770" s="44" t="str">
        <f>IF(OR($P770="High",$P770="Low"),"",IF($P770="Mix",SUMIF('High_Low Voltage Mix Summary'!$B$10:$B$17,$B513,'High_Low Voltage Mix Summary'!$H$10:$H$17),""))</f>
        <v/>
      </c>
      <c r="AB770" s="49">
        <f>SUMIF('Antelope Bailey Split BA'!$B$7:$B$29,B770,'Antelope Bailey Split BA'!$C$7:$C$29)</f>
        <v>0</v>
      </c>
      <c r="AC770" s="49" t="str">
        <f>IF(AND(AB770=1,'Plant Total by Account'!$H$1=2),"EKWRA","")</f>
        <v/>
      </c>
    </row>
    <row r="771" spans="1:29" x14ac:dyDescent="0.2">
      <c r="A771" s="39" t="s">
        <v>3220</v>
      </c>
      <c r="B771" s="45" t="s">
        <v>901</v>
      </c>
      <c r="C771" s="40" t="s">
        <v>3333</v>
      </c>
      <c r="D771" s="53">
        <v>0</v>
      </c>
      <c r="E771" s="53">
        <v>35510.74</v>
      </c>
      <c r="F771" s="53">
        <v>1596119.4100000004</v>
      </c>
      <c r="G771" s="578">
        <f t="shared" si="102"/>
        <v>1631630.1500000004</v>
      </c>
      <c r="H771" s="41"/>
      <c r="I771" s="41"/>
      <c r="J771" s="41"/>
      <c r="K771" s="41">
        <f t="shared" si="104"/>
        <v>0</v>
      </c>
      <c r="L771" s="41">
        <f t="shared" si="105"/>
        <v>35510.74</v>
      </c>
      <c r="M771" s="41">
        <f t="shared" si="106"/>
        <v>1596119.4100000004</v>
      </c>
      <c r="N771" s="363">
        <f t="shared" si="103"/>
        <v>0</v>
      </c>
      <c r="O771" s="43" t="s">
        <v>3309</v>
      </c>
      <c r="P771" s="43"/>
      <c r="R771" s="41">
        <f t="shared" si="107"/>
        <v>0</v>
      </c>
      <c r="S771" s="41">
        <f t="shared" si="108"/>
        <v>0</v>
      </c>
      <c r="T771" s="41">
        <f t="shared" si="109"/>
        <v>0</v>
      </c>
      <c r="U771" s="41"/>
      <c r="V771" s="44" t="str">
        <f>IF($P771="High",$S771,IF($P771="Mix",SUMIF('High_Low Voltage Mix Summary'!$B$10:$B$17,$B514,'High_Low Voltage Mix Summary'!$D$10:$D$17),""))</f>
        <v/>
      </c>
      <c r="W771" s="44" t="str">
        <f>IF($P771="Low",$S771,IF($P771="Mix",SUMIF('High_Low Voltage Mix Summary'!$B$10:$B$17,$B514,'High_Low Voltage Mix Summary'!$E$10:$E$17),""))</f>
        <v/>
      </c>
      <c r="X771" s="44" t="str">
        <f>IF($P771="High",$T771,IF($P771="Mix",SUMIF('High_Low Voltage Mix Summary'!$B$10:$B$17,$B514,'High_Low Voltage Mix Summary'!$F$10:$F$17),""))</f>
        <v/>
      </c>
      <c r="Y771" s="44" t="str">
        <f>IF($P771="Low",$T771,IF($P771="Mix",SUMIF('High_Low Voltage Mix Summary'!$B$10:$B$17,$B514,'High_Low Voltage Mix Summary'!$G$10:$G$17),""))</f>
        <v/>
      </c>
      <c r="Z771" s="44" t="str">
        <f>IF(OR($P771="High",$P771="Low"),"",IF($P771="Mix",SUMIF('High_Low Voltage Mix Summary'!$B$10:$B$17,$B514,'High_Low Voltage Mix Summary'!$H$10:$H$17),""))</f>
        <v/>
      </c>
      <c r="AB771" s="49">
        <f>SUMIF('Antelope Bailey Split BA'!$B$7:$B$29,B771,'Antelope Bailey Split BA'!$C$7:$C$29)</f>
        <v>0</v>
      </c>
      <c r="AC771" s="49" t="str">
        <f>IF(AND(AB771=1,'Plant Total by Account'!$H$1=2),"EKWRA","")</f>
        <v/>
      </c>
    </row>
    <row r="772" spans="1:29" x14ac:dyDescent="0.2">
      <c r="A772" s="39" t="s">
        <v>3221</v>
      </c>
      <c r="B772" s="45" t="s">
        <v>902</v>
      </c>
      <c r="C772" s="40" t="s">
        <v>3333</v>
      </c>
      <c r="D772" s="53">
        <v>7369.71</v>
      </c>
      <c r="E772" s="53">
        <v>4830.6200000000008</v>
      </c>
      <c r="F772" s="53">
        <v>507532.71000000008</v>
      </c>
      <c r="G772" s="578">
        <f t="shared" si="102"/>
        <v>519733.0400000001</v>
      </c>
      <c r="H772" s="41"/>
      <c r="I772" s="41"/>
      <c r="J772" s="41"/>
      <c r="K772" s="41">
        <f t="shared" si="104"/>
        <v>7369.71</v>
      </c>
      <c r="L772" s="41">
        <f t="shared" si="105"/>
        <v>4830.6200000000008</v>
      </c>
      <c r="M772" s="41">
        <f t="shared" si="106"/>
        <v>507532.71000000008</v>
      </c>
      <c r="N772" s="363">
        <f t="shared" si="103"/>
        <v>0</v>
      </c>
      <c r="O772" s="43" t="s">
        <v>3309</v>
      </c>
      <c r="P772" s="43"/>
      <c r="R772" s="41">
        <f t="shared" si="107"/>
        <v>0</v>
      </c>
      <c r="S772" s="41">
        <f t="shared" si="108"/>
        <v>0</v>
      </c>
      <c r="T772" s="41">
        <f t="shared" si="109"/>
        <v>0</v>
      </c>
      <c r="U772" s="41"/>
      <c r="V772" s="44" t="str">
        <f>IF($P772="High",$S772,IF($P772="Mix",SUMIF('High_Low Voltage Mix Summary'!$B$10:$B$17,$B515,'High_Low Voltage Mix Summary'!$D$10:$D$17),""))</f>
        <v/>
      </c>
      <c r="W772" s="44" t="str">
        <f>IF($P772="Low",$S772,IF($P772="Mix",SUMIF('High_Low Voltage Mix Summary'!$B$10:$B$17,$B515,'High_Low Voltage Mix Summary'!$E$10:$E$17),""))</f>
        <v/>
      </c>
      <c r="X772" s="44" t="str">
        <f>IF($P772="High",$T772,IF($P772="Mix",SUMIF('High_Low Voltage Mix Summary'!$B$10:$B$17,$B515,'High_Low Voltage Mix Summary'!$F$10:$F$17),""))</f>
        <v/>
      </c>
      <c r="Y772" s="44" t="str">
        <f>IF($P772="Low",$T772,IF($P772="Mix",SUMIF('High_Low Voltage Mix Summary'!$B$10:$B$17,$B515,'High_Low Voltage Mix Summary'!$G$10:$G$17),""))</f>
        <v/>
      </c>
      <c r="Z772" s="44" t="str">
        <f>IF(OR($P772="High",$P772="Low"),"",IF($P772="Mix",SUMIF('High_Low Voltage Mix Summary'!$B$10:$B$17,$B515,'High_Low Voltage Mix Summary'!$H$10:$H$17),""))</f>
        <v/>
      </c>
      <c r="AB772" s="49">
        <f>SUMIF('Antelope Bailey Split BA'!$B$7:$B$29,B772,'Antelope Bailey Split BA'!$C$7:$C$29)</f>
        <v>0</v>
      </c>
      <c r="AC772" s="49" t="str">
        <f>IF(AND(AB772=1,'Plant Total by Account'!$H$1=2),"EKWRA","")</f>
        <v/>
      </c>
    </row>
    <row r="773" spans="1:29" x14ac:dyDescent="0.2">
      <c r="A773" s="39" t="s">
        <v>2563</v>
      </c>
      <c r="B773" s="45" t="s">
        <v>903</v>
      </c>
      <c r="C773" s="40" t="s">
        <v>3333</v>
      </c>
      <c r="D773" s="53">
        <v>1500.67</v>
      </c>
      <c r="E773" s="53">
        <v>5387617.3699999992</v>
      </c>
      <c r="F773" s="53">
        <v>370045.19</v>
      </c>
      <c r="G773" s="578">
        <f t="shared" si="102"/>
        <v>5759163.2299999995</v>
      </c>
      <c r="H773" s="41"/>
      <c r="I773" s="41"/>
      <c r="J773" s="41"/>
      <c r="K773" s="41">
        <f t="shared" si="104"/>
        <v>1500.67</v>
      </c>
      <c r="L773" s="41">
        <f t="shared" si="105"/>
        <v>5387617.3699999992</v>
      </c>
      <c r="M773" s="41">
        <f t="shared" si="106"/>
        <v>370045.19</v>
      </c>
      <c r="N773" s="363">
        <f t="shared" si="103"/>
        <v>0</v>
      </c>
      <c r="O773" s="43" t="s">
        <v>3309</v>
      </c>
      <c r="P773" s="43"/>
      <c r="R773" s="41">
        <f t="shared" si="107"/>
        <v>0</v>
      </c>
      <c r="S773" s="41">
        <f t="shared" si="108"/>
        <v>0</v>
      </c>
      <c r="T773" s="41">
        <f t="shared" si="109"/>
        <v>0</v>
      </c>
      <c r="U773" s="41"/>
      <c r="V773" s="44" t="str">
        <f>IF($P773="High",$S773,IF($P773="Mix",SUMIF('High_Low Voltage Mix Summary'!$B$10:$B$17,$B516,'High_Low Voltage Mix Summary'!$D$10:$D$17),""))</f>
        <v/>
      </c>
      <c r="W773" s="44" t="str">
        <f>IF($P773="Low",$S773,IF($P773="Mix",SUMIF('High_Low Voltage Mix Summary'!$B$10:$B$17,$B516,'High_Low Voltage Mix Summary'!$E$10:$E$17),""))</f>
        <v/>
      </c>
      <c r="X773" s="44" t="str">
        <f>IF($P773="High",$T773,IF($P773="Mix",SUMIF('High_Low Voltage Mix Summary'!$B$10:$B$17,$B516,'High_Low Voltage Mix Summary'!$F$10:$F$17),""))</f>
        <v/>
      </c>
      <c r="Y773" s="44" t="str">
        <f>IF($P773="Low",$T773,IF($P773="Mix",SUMIF('High_Low Voltage Mix Summary'!$B$10:$B$17,$B516,'High_Low Voltage Mix Summary'!$G$10:$G$17),""))</f>
        <v/>
      </c>
      <c r="Z773" s="44" t="str">
        <f>IF(OR($P773="High",$P773="Low"),"",IF($P773="Mix",SUMIF('High_Low Voltage Mix Summary'!$B$10:$B$17,$B516,'High_Low Voltage Mix Summary'!$H$10:$H$17),""))</f>
        <v/>
      </c>
      <c r="AB773" s="49">
        <f>SUMIF('Antelope Bailey Split BA'!$B$7:$B$29,B773,'Antelope Bailey Split BA'!$C$7:$C$29)</f>
        <v>0</v>
      </c>
      <c r="AC773" s="49" t="str">
        <f>IF(AND(AB773=1,'Plant Total by Account'!$H$1=2),"EKWRA","")</f>
        <v/>
      </c>
    </row>
    <row r="774" spans="1:29" x14ac:dyDescent="0.2">
      <c r="A774" s="39" t="s">
        <v>3222</v>
      </c>
      <c r="B774" s="45" t="s">
        <v>904</v>
      </c>
      <c r="C774" s="40" t="s">
        <v>3333</v>
      </c>
      <c r="D774" s="53">
        <v>1404.49</v>
      </c>
      <c r="E774" s="53">
        <v>11388.67</v>
      </c>
      <c r="F774" s="53">
        <v>285037.62</v>
      </c>
      <c r="G774" s="578">
        <f t="shared" si="102"/>
        <v>297830.77999999997</v>
      </c>
      <c r="H774" s="41"/>
      <c r="I774" s="41"/>
      <c r="J774" s="41"/>
      <c r="K774" s="41">
        <f t="shared" si="104"/>
        <v>1404.49</v>
      </c>
      <c r="L774" s="41">
        <f t="shared" si="105"/>
        <v>11388.67</v>
      </c>
      <c r="M774" s="41">
        <f t="shared" si="106"/>
        <v>285037.62</v>
      </c>
      <c r="N774" s="363">
        <f t="shared" si="103"/>
        <v>0</v>
      </c>
      <c r="O774" s="43" t="s">
        <v>3309</v>
      </c>
      <c r="P774" s="43"/>
      <c r="R774" s="41">
        <f t="shared" si="107"/>
        <v>0</v>
      </c>
      <c r="S774" s="41">
        <f t="shared" si="108"/>
        <v>0</v>
      </c>
      <c r="T774" s="41">
        <f t="shared" si="109"/>
        <v>0</v>
      </c>
      <c r="U774" s="41"/>
      <c r="V774" s="44" t="str">
        <f>IF($P774="High",$S774,IF($P774="Mix",SUMIF('High_Low Voltage Mix Summary'!$B$10:$B$17,$B517,'High_Low Voltage Mix Summary'!$D$10:$D$17),""))</f>
        <v/>
      </c>
      <c r="W774" s="44" t="str">
        <f>IF($P774="Low",$S774,IF($P774="Mix",SUMIF('High_Low Voltage Mix Summary'!$B$10:$B$17,$B517,'High_Low Voltage Mix Summary'!$E$10:$E$17),""))</f>
        <v/>
      </c>
      <c r="X774" s="44" t="str">
        <f>IF($P774="High",$T774,IF($P774="Mix",SUMIF('High_Low Voltage Mix Summary'!$B$10:$B$17,$B517,'High_Low Voltage Mix Summary'!$F$10:$F$17),""))</f>
        <v/>
      </c>
      <c r="Y774" s="44" t="str">
        <f>IF($P774="Low",$T774,IF($P774="Mix",SUMIF('High_Low Voltage Mix Summary'!$B$10:$B$17,$B517,'High_Low Voltage Mix Summary'!$G$10:$G$17),""))</f>
        <v/>
      </c>
      <c r="Z774" s="44" t="str">
        <f>IF(OR($P774="High",$P774="Low"),"",IF($P774="Mix",SUMIF('High_Low Voltage Mix Summary'!$B$10:$B$17,$B517,'High_Low Voltage Mix Summary'!$H$10:$H$17),""))</f>
        <v/>
      </c>
      <c r="AB774" s="49">
        <f>SUMIF('Antelope Bailey Split BA'!$B$7:$B$29,B774,'Antelope Bailey Split BA'!$C$7:$C$29)</f>
        <v>0</v>
      </c>
      <c r="AC774" s="49" t="str">
        <f>IF(AND(AB774=1,'Plant Total by Account'!$H$1=2),"EKWRA","")</f>
        <v/>
      </c>
    </row>
    <row r="775" spans="1:29" x14ac:dyDescent="0.2">
      <c r="A775" s="39" t="s">
        <v>3223</v>
      </c>
      <c r="B775" s="45" t="s">
        <v>905</v>
      </c>
      <c r="C775" s="40" t="s">
        <v>3333</v>
      </c>
      <c r="D775" s="53">
        <v>6198.17</v>
      </c>
      <c r="E775" s="53">
        <v>48973.22</v>
      </c>
      <c r="F775" s="53">
        <v>1856256.2500000005</v>
      </c>
      <c r="G775" s="578">
        <f t="shared" si="102"/>
        <v>1911427.6400000004</v>
      </c>
      <c r="H775" s="41"/>
      <c r="I775" s="41"/>
      <c r="J775" s="41"/>
      <c r="K775" s="41">
        <f t="shared" si="104"/>
        <v>6198.17</v>
      </c>
      <c r="L775" s="41">
        <f t="shared" si="105"/>
        <v>48973.22</v>
      </c>
      <c r="M775" s="41">
        <f t="shared" si="106"/>
        <v>1856256.2500000005</v>
      </c>
      <c r="N775" s="363">
        <f t="shared" si="103"/>
        <v>0</v>
      </c>
      <c r="O775" s="43" t="s">
        <v>3309</v>
      </c>
      <c r="P775" s="43"/>
      <c r="R775" s="41">
        <f t="shared" si="107"/>
        <v>0</v>
      </c>
      <c r="S775" s="41">
        <f t="shared" si="108"/>
        <v>0</v>
      </c>
      <c r="T775" s="41">
        <f t="shared" si="109"/>
        <v>0</v>
      </c>
      <c r="U775" s="41"/>
      <c r="V775" s="44" t="str">
        <f>IF($P775="High",$S775,IF($P775="Mix",SUMIF('High_Low Voltage Mix Summary'!$B$10:$B$17,$B518,'High_Low Voltage Mix Summary'!$D$10:$D$17),""))</f>
        <v/>
      </c>
      <c r="W775" s="44" t="str">
        <f>IF($P775="Low",$S775,IF($P775="Mix",SUMIF('High_Low Voltage Mix Summary'!$B$10:$B$17,$B518,'High_Low Voltage Mix Summary'!$E$10:$E$17),""))</f>
        <v/>
      </c>
      <c r="X775" s="44" t="str">
        <f>IF($P775="High",$T775,IF($P775="Mix",SUMIF('High_Low Voltage Mix Summary'!$B$10:$B$17,$B518,'High_Low Voltage Mix Summary'!$F$10:$F$17),""))</f>
        <v/>
      </c>
      <c r="Y775" s="44" t="str">
        <f>IF($P775="Low",$T775,IF($P775="Mix",SUMIF('High_Low Voltage Mix Summary'!$B$10:$B$17,$B518,'High_Low Voltage Mix Summary'!$G$10:$G$17),""))</f>
        <v/>
      </c>
      <c r="Z775" s="44" t="str">
        <f>IF(OR($P775="High",$P775="Low"),"",IF($P775="Mix",SUMIF('High_Low Voltage Mix Summary'!$B$10:$B$17,$B518,'High_Low Voltage Mix Summary'!$H$10:$H$17),""))</f>
        <v/>
      </c>
      <c r="AB775" s="49">
        <f>SUMIF('Antelope Bailey Split BA'!$B$7:$B$29,B775,'Antelope Bailey Split BA'!$C$7:$C$29)</f>
        <v>0</v>
      </c>
      <c r="AC775" s="49" t="str">
        <f>IF(AND(AB775=1,'Plant Total by Account'!$H$1=2),"EKWRA","")</f>
        <v/>
      </c>
    </row>
    <row r="776" spans="1:29" x14ac:dyDescent="0.2">
      <c r="A776" s="39" t="s">
        <v>3224</v>
      </c>
      <c r="B776" s="45" t="s">
        <v>906</v>
      </c>
      <c r="C776" s="40" t="s">
        <v>3333</v>
      </c>
      <c r="D776" s="53">
        <v>7366.87</v>
      </c>
      <c r="E776" s="53">
        <v>29035.35</v>
      </c>
      <c r="F776" s="53">
        <v>1601576.58</v>
      </c>
      <c r="G776" s="578">
        <f t="shared" si="102"/>
        <v>1637978.8</v>
      </c>
      <c r="H776" s="41"/>
      <c r="I776" s="41"/>
      <c r="J776" s="41"/>
      <c r="K776" s="41">
        <f t="shared" si="104"/>
        <v>7366.87</v>
      </c>
      <c r="L776" s="41">
        <f t="shared" si="105"/>
        <v>29035.35</v>
      </c>
      <c r="M776" s="41">
        <f t="shared" si="106"/>
        <v>1601576.58</v>
      </c>
      <c r="N776" s="363">
        <f t="shared" si="103"/>
        <v>0</v>
      </c>
      <c r="O776" s="43" t="s">
        <v>3309</v>
      </c>
      <c r="P776" s="43"/>
      <c r="R776" s="41">
        <f t="shared" ref="R776:R807" si="110">SUM(H776:J776)</f>
        <v>0</v>
      </c>
      <c r="S776" s="41">
        <f t="shared" ref="S776:S807" si="111">H776</f>
        <v>0</v>
      </c>
      <c r="T776" s="41">
        <f t="shared" ref="T776:T807" si="112">SUM(I776:J776)</f>
        <v>0</v>
      </c>
      <c r="U776" s="41"/>
      <c r="V776" s="44" t="str">
        <f>IF($P776="High",$S776,IF($P776="Mix",SUMIF('High_Low Voltage Mix Summary'!$B$10:$B$17,$B519,'High_Low Voltage Mix Summary'!$D$10:$D$17),""))</f>
        <v/>
      </c>
      <c r="W776" s="44" t="str">
        <f>IF($P776="Low",$S776,IF($P776="Mix",SUMIF('High_Low Voltage Mix Summary'!$B$10:$B$17,$B519,'High_Low Voltage Mix Summary'!$E$10:$E$17),""))</f>
        <v/>
      </c>
      <c r="X776" s="44" t="str">
        <f>IF($P776="High",$T776,IF($P776="Mix",SUMIF('High_Low Voltage Mix Summary'!$B$10:$B$17,$B519,'High_Low Voltage Mix Summary'!$F$10:$F$17),""))</f>
        <v/>
      </c>
      <c r="Y776" s="44" t="str">
        <f>IF($P776="Low",$T776,IF($P776="Mix",SUMIF('High_Low Voltage Mix Summary'!$B$10:$B$17,$B519,'High_Low Voltage Mix Summary'!$G$10:$G$17),""))</f>
        <v/>
      </c>
      <c r="Z776" s="44" t="str">
        <f>IF(OR($P776="High",$P776="Low"),"",IF($P776="Mix",SUMIF('High_Low Voltage Mix Summary'!$B$10:$B$17,$B519,'High_Low Voltage Mix Summary'!$H$10:$H$17),""))</f>
        <v/>
      </c>
      <c r="AB776" s="49">
        <f>SUMIF('Antelope Bailey Split BA'!$B$7:$B$29,B776,'Antelope Bailey Split BA'!$C$7:$C$29)</f>
        <v>0</v>
      </c>
      <c r="AC776" s="49" t="str">
        <f>IF(AND(AB776=1,'Plant Total by Account'!$H$1=2),"EKWRA","")</f>
        <v/>
      </c>
    </row>
    <row r="777" spans="1:29" x14ac:dyDescent="0.2">
      <c r="A777" s="39" t="s">
        <v>2564</v>
      </c>
      <c r="B777" s="45" t="s">
        <v>907</v>
      </c>
      <c r="C777" s="40" t="s">
        <v>3333</v>
      </c>
      <c r="D777" s="53">
        <v>0</v>
      </c>
      <c r="E777" s="53">
        <v>4042.87</v>
      </c>
      <c r="F777" s="53">
        <v>3378.6</v>
      </c>
      <c r="G777" s="578">
        <f t="shared" si="102"/>
        <v>7421.4699999999993</v>
      </c>
      <c r="H777" s="41"/>
      <c r="I777" s="41"/>
      <c r="J777" s="41"/>
      <c r="K777" s="41">
        <f t="shared" si="104"/>
        <v>0</v>
      </c>
      <c r="L777" s="41">
        <f t="shared" si="105"/>
        <v>4042.87</v>
      </c>
      <c r="M777" s="41">
        <f t="shared" si="106"/>
        <v>3378.6</v>
      </c>
      <c r="N777" s="363">
        <f t="shared" si="103"/>
        <v>0</v>
      </c>
      <c r="O777" s="43" t="s">
        <v>3309</v>
      </c>
      <c r="P777" s="43"/>
      <c r="R777" s="41">
        <f t="shared" si="110"/>
        <v>0</v>
      </c>
      <c r="S777" s="41">
        <f t="shared" si="111"/>
        <v>0</v>
      </c>
      <c r="T777" s="41">
        <f t="shared" si="112"/>
        <v>0</v>
      </c>
      <c r="U777" s="41"/>
      <c r="V777" s="44" t="str">
        <f>IF($P777="High",$S777,IF($P777="Mix",SUMIF('High_Low Voltage Mix Summary'!$B$10:$B$17,$B520,'High_Low Voltage Mix Summary'!$D$10:$D$17),""))</f>
        <v/>
      </c>
      <c r="W777" s="44" t="str">
        <f>IF($P777="Low",$S777,IF($P777="Mix",SUMIF('High_Low Voltage Mix Summary'!$B$10:$B$17,$B520,'High_Low Voltage Mix Summary'!$E$10:$E$17),""))</f>
        <v/>
      </c>
      <c r="X777" s="44" t="str">
        <f>IF($P777="High",$T777,IF($P777="Mix",SUMIF('High_Low Voltage Mix Summary'!$B$10:$B$17,$B520,'High_Low Voltage Mix Summary'!$F$10:$F$17),""))</f>
        <v/>
      </c>
      <c r="Y777" s="44" t="str">
        <f>IF($P777="Low",$T777,IF($P777="Mix",SUMIF('High_Low Voltage Mix Summary'!$B$10:$B$17,$B520,'High_Low Voltage Mix Summary'!$G$10:$G$17),""))</f>
        <v/>
      </c>
      <c r="Z777" s="44" t="str">
        <f>IF(OR($P777="High",$P777="Low"),"",IF($P777="Mix",SUMIF('High_Low Voltage Mix Summary'!$B$10:$B$17,$B520,'High_Low Voltage Mix Summary'!$H$10:$H$17),""))</f>
        <v/>
      </c>
      <c r="AB777" s="49">
        <f>SUMIF('Antelope Bailey Split BA'!$B$7:$B$29,B777,'Antelope Bailey Split BA'!$C$7:$C$29)</f>
        <v>0</v>
      </c>
      <c r="AC777" s="49" t="str">
        <f>IF(AND(AB777=1,'Plant Total by Account'!$H$1=2),"EKWRA","")</f>
        <v/>
      </c>
    </row>
    <row r="778" spans="1:29" x14ac:dyDescent="0.2">
      <c r="A778" s="39" t="s">
        <v>3225</v>
      </c>
      <c r="B778" s="45" t="s">
        <v>908</v>
      </c>
      <c r="C778" s="40" t="s">
        <v>3333</v>
      </c>
      <c r="D778" s="53">
        <v>22641.760000000002</v>
      </c>
      <c r="E778" s="53">
        <v>7065.26</v>
      </c>
      <c r="F778" s="53">
        <v>542555.12</v>
      </c>
      <c r="G778" s="578">
        <f t="shared" ref="G778:G840" si="113">SUM(D778:F778)</f>
        <v>572262.14</v>
      </c>
      <c r="H778" s="41"/>
      <c r="I778" s="41"/>
      <c r="J778" s="41"/>
      <c r="K778" s="41">
        <f t="shared" si="104"/>
        <v>22641.760000000002</v>
      </c>
      <c r="L778" s="41">
        <f t="shared" si="105"/>
        <v>7065.26</v>
      </c>
      <c r="M778" s="41">
        <f t="shared" si="106"/>
        <v>542555.12</v>
      </c>
      <c r="N778" s="363">
        <f t="shared" ref="N778:N840" si="114">G778-SUM(H778:M778)</f>
        <v>0</v>
      </c>
      <c r="O778" s="43" t="s">
        <v>3309</v>
      </c>
      <c r="P778" s="43"/>
      <c r="R778" s="41">
        <f t="shared" si="110"/>
        <v>0</v>
      </c>
      <c r="S778" s="41">
        <f t="shared" si="111"/>
        <v>0</v>
      </c>
      <c r="T778" s="41">
        <f t="shared" si="112"/>
        <v>0</v>
      </c>
      <c r="U778" s="41"/>
      <c r="V778" s="44" t="str">
        <f>IF($P778="High",$S778,IF($P778="Mix",SUMIF('High_Low Voltage Mix Summary'!$B$10:$B$17,$B521,'High_Low Voltage Mix Summary'!$D$10:$D$17),""))</f>
        <v/>
      </c>
      <c r="W778" s="44" t="str">
        <f>IF($P778="Low",$S778,IF($P778="Mix",SUMIF('High_Low Voltage Mix Summary'!$B$10:$B$17,$B521,'High_Low Voltage Mix Summary'!$E$10:$E$17),""))</f>
        <v/>
      </c>
      <c r="X778" s="44" t="str">
        <f>IF($P778="High",$T778,IF($P778="Mix",SUMIF('High_Low Voltage Mix Summary'!$B$10:$B$17,$B521,'High_Low Voltage Mix Summary'!$F$10:$F$17),""))</f>
        <v/>
      </c>
      <c r="Y778" s="44" t="str">
        <f>IF($P778="Low",$T778,IF($P778="Mix",SUMIF('High_Low Voltage Mix Summary'!$B$10:$B$17,$B521,'High_Low Voltage Mix Summary'!$G$10:$G$17),""))</f>
        <v/>
      </c>
      <c r="Z778" s="44" t="str">
        <f>IF(OR($P778="High",$P778="Low"),"",IF($P778="Mix",SUMIF('High_Low Voltage Mix Summary'!$B$10:$B$17,$B521,'High_Low Voltage Mix Summary'!$H$10:$H$17),""))</f>
        <v/>
      </c>
      <c r="AB778" s="49">
        <f>SUMIF('Antelope Bailey Split BA'!$B$7:$B$29,B778,'Antelope Bailey Split BA'!$C$7:$C$29)</f>
        <v>0</v>
      </c>
      <c r="AC778" s="49" t="str">
        <f>IF(AND(AB778=1,'Plant Total by Account'!$H$1=2),"EKWRA","")</f>
        <v/>
      </c>
    </row>
    <row r="779" spans="1:29" x14ac:dyDescent="0.2">
      <c r="A779" s="39" t="s">
        <v>2565</v>
      </c>
      <c r="B779" s="45" t="s">
        <v>909</v>
      </c>
      <c r="C779" s="40" t="s">
        <v>3333</v>
      </c>
      <c r="D779" s="53">
        <v>38511.25</v>
      </c>
      <c r="E779" s="53">
        <v>2562.0300000000002</v>
      </c>
      <c r="F779" s="53">
        <v>64718.239999999998</v>
      </c>
      <c r="G779" s="578">
        <f t="shared" si="113"/>
        <v>105791.51999999999</v>
      </c>
      <c r="H779" s="41"/>
      <c r="I779" s="41"/>
      <c r="J779" s="41"/>
      <c r="K779" s="41">
        <f t="shared" si="104"/>
        <v>38511.25</v>
      </c>
      <c r="L779" s="41">
        <f t="shared" si="105"/>
        <v>2562.0300000000002</v>
      </c>
      <c r="M779" s="41">
        <f t="shared" si="106"/>
        <v>64718.239999999998</v>
      </c>
      <c r="N779" s="363">
        <f t="shared" si="114"/>
        <v>0</v>
      </c>
      <c r="O779" s="43" t="s">
        <v>3309</v>
      </c>
      <c r="P779" s="43"/>
      <c r="R779" s="41">
        <f t="shared" si="110"/>
        <v>0</v>
      </c>
      <c r="S779" s="41">
        <f t="shared" si="111"/>
        <v>0</v>
      </c>
      <c r="T779" s="41">
        <f t="shared" si="112"/>
        <v>0</v>
      </c>
      <c r="U779" s="41"/>
      <c r="V779" s="44" t="str">
        <f>IF($P779="High",$S779,IF($P779="Mix",SUMIF('High_Low Voltage Mix Summary'!$B$10:$B$17,$B522,'High_Low Voltage Mix Summary'!$D$10:$D$17),""))</f>
        <v/>
      </c>
      <c r="W779" s="44" t="str">
        <f>IF($P779="Low",$S779,IF($P779="Mix",SUMIF('High_Low Voltage Mix Summary'!$B$10:$B$17,$B522,'High_Low Voltage Mix Summary'!$E$10:$E$17),""))</f>
        <v/>
      </c>
      <c r="X779" s="44" t="str">
        <f>IF($P779="High",$T779,IF($P779="Mix",SUMIF('High_Low Voltage Mix Summary'!$B$10:$B$17,$B522,'High_Low Voltage Mix Summary'!$F$10:$F$17),""))</f>
        <v/>
      </c>
      <c r="Y779" s="44" t="str">
        <f>IF($P779="Low",$T779,IF($P779="Mix",SUMIF('High_Low Voltage Mix Summary'!$B$10:$B$17,$B522,'High_Low Voltage Mix Summary'!$G$10:$G$17),""))</f>
        <v/>
      </c>
      <c r="Z779" s="44" t="str">
        <f>IF(OR($P779="High",$P779="Low"),"",IF($P779="Mix",SUMIF('High_Low Voltage Mix Summary'!$B$10:$B$17,$B522,'High_Low Voltage Mix Summary'!$H$10:$H$17),""))</f>
        <v/>
      </c>
      <c r="AB779" s="49">
        <f>SUMIF('Antelope Bailey Split BA'!$B$7:$B$29,B779,'Antelope Bailey Split BA'!$C$7:$C$29)</f>
        <v>0</v>
      </c>
      <c r="AC779" s="49" t="str">
        <f>IF(AND(AB779=1,'Plant Total by Account'!$H$1=2),"EKWRA","")</f>
        <v/>
      </c>
    </row>
    <row r="780" spans="1:29" x14ac:dyDescent="0.2">
      <c r="A780" s="39" t="s">
        <v>3226</v>
      </c>
      <c r="B780" s="45" t="s">
        <v>910</v>
      </c>
      <c r="C780" s="40" t="s">
        <v>3333</v>
      </c>
      <c r="D780" s="53">
        <v>2201.4</v>
      </c>
      <c r="E780" s="53">
        <v>24756.86</v>
      </c>
      <c r="F780" s="53">
        <v>547022.67000000004</v>
      </c>
      <c r="G780" s="578">
        <f t="shared" si="113"/>
        <v>573980.93000000005</v>
      </c>
      <c r="H780" s="41"/>
      <c r="I780" s="41"/>
      <c r="J780" s="41"/>
      <c r="K780" s="41">
        <f t="shared" si="104"/>
        <v>2201.4</v>
      </c>
      <c r="L780" s="41">
        <f t="shared" si="105"/>
        <v>24756.86</v>
      </c>
      <c r="M780" s="41">
        <f t="shared" si="106"/>
        <v>547022.67000000004</v>
      </c>
      <c r="N780" s="363">
        <f t="shared" si="114"/>
        <v>0</v>
      </c>
      <c r="O780" s="43" t="s">
        <v>3309</v>
      </c>
      <c r="P780" s="43"/>
      <c r="R780" s="41">
        <f t="shared" si="110"/>
        <v>0</v>
      </c>
      <c r="S780" s="41">
        <f t="shared" si="111"/>
        <v>0</v>
      </c>
      <c r="T780" s="41">
        <f t="shared" si="112"/>
        <v>0</v>
      </c>
      <c r="U780" s="41"/>
      <c r="V780" s="44" t="str">
        <f>IF($P780="High",$S780,IF($P780="Mix",SUMIF('High_Low Voltage Mix Summary'!$B$10:$B$17,$B523,'High_Low Voltage Mix Summary'!$D$10:$D$17),""))</f>
        <v/>
      </c>
      <c r="W780" s="44" t="str">
        <f>IF($P780="Low",$S780,IF($P780="Mix",SUMIF('High_Low Voltage Mix Summary'!$B$10:$B$17,$B523,'High_Low Voltage Mix Summary'!$E$10:$E$17),""))</f>
        <v/>
      </c>
      <c r="X780" s="44" t="str">
        <f>IF($P780="High",$T780,IF($P780="Mix",SUMIF('High_Low Voltage Mix Summary'!$B$10:$B$17,$B523,'High_Low Voltage Mix Summary'!$F$10:$F$17),""))</f>
        <v/>
      </c>
      <c r="Y780" s="44" t="str">
        <f>IF($P780="Low",$T780,IF($P780="Mix",SUMIF('High_Low Voltage Mix Summary'!$B$10:$B$17,$B523,'High_Low Voltage Mix Summary'!$G$10:$G$17),""))</f>
        <v/>
      </c>
      <c r="Z780" s="44" t="str">
        <f>IF(OR($P780="High",$P780="Low"),"",IF($P780="Mix",SUMIF('High_Low Voltage Mix Summary'!$B$10:$B$17,$B523,'High_Low Voltage Mix Summary'!$H$10:$H$17),""))</f>
        <v/>
      </c>
      <c r="AB780" s="49">
        <f>SUMIF('Antelope Bailey Split BA'!$B$7:$B$29,B780,'Antelope Bailey Split BA'!$C$7:$C$29)</f>
        <v>0</v>
      </c>
      <c r="AC780" s="49" t="str">
        <f>IF(AND(AB780=1,'Plant Total by Account'!$H$1=2),"EKWRA","")</f>
        <v/>
      </c>
    </row>
    <row r="781" spans="1:29" x14ac:dyDescent="0.2">
      <c r="A781" s="39" t="s">
        <v>3227</v>
      </c>
      <c r="B781" s="45" t="s">
        <v>911</v>
      </c>
      <c r="C781" s="40" t="s">
        <v>3333</v>
      </c>
      <c r="D781" s="53">
        <v>0</v>
      </c>
      <c r="E781" s="53">
        <v>981.44</v>
      </c>
      <c r="F781" s="53">
        <v>104023.27</v>
      </c>
      <c r="G781" s="578">
        <f t="shared" si="113"/>
        <v>105004.71</v>
      </c>
      <c r="H781" s="41"/>
      <c r="I781" s="41"/>
      <c r="J781" s="41"/>
      <c r="K781" s="41">
        <f t="shared" si="104"/>
        <v>0</v>
      </c>
      <c r="L781" s="41">
        <f t="shared" si="105"/>
        <v>981.44</v>
      </c>
      <c r="M781" s="41">
        <f t="shared" si="106"/>
        <v>104023.27</v>
      </c>
      <c r="N781" s="363">
        <f t="shared" si="114"/>
        <v>0</v>
      </c>
      <c r="O781" s="43" t="s">
        <v>3309</v>
      </c>
      <c r="P781" s="43"/>
      <c r="R781" s="41">
        <f t="shared" si="110"/>
        <v>0</v>
      </c>
      <c r="S781" s="41">
        <f t="shared" si="111"/>
        <v>0</v>
      </c>
      <c r="T781" s="41">
        <f t="shared" si="112"/>
        <v>0</v>
      </c>
      <c r="U781" s="41"/>
      <c r="V781" s="44" t="str">
        <f>IF($P781="High",$S781,IF($P781="Mix",SUMIF('High_Low Voltage Mix Summary'!$B$10:$B$17,$B524,'High_Low Voltage Mix Summary'!$D$10:$D$17),""))</f>
        <v/>
      </c>
      <c r="W781" s="44" t="str">
        <f>IF($P781="Low",$S781,IF($P781="Mix",SUMIF('High_Low Voltage Mix Summary'!$B$10:$B$17,$B524,'High_Low Voltage Mix Summary'!$E$10:$E$17),""))</f>
        <v/>
      </c>
      <c r="X781" s="44" t="str">
        <f>IF($P781="High",$T781,IF($P781="Mix",SUMIF('High_Low Voltage Mix Summary'!$B$10:$B$17,$B524,'High_Low Voltage Mix Summary'!$F$10:$F$17),""))</f>
        <v/>
      </c>
      <c r="Y781" s="44" t="str">
        <f>IF($P781="Low",$T781,IF($P781="Mix",SUMIF('High_Low Voltage Mix Summary'!$B$10:$B$17,$B524,'High_Low Voltage Mix Summary'!$G$10:$G$17),""))</f>
        <v/>
      </c>
      <c r="Z781" s="44" t="str">
        <f>IF(OR($P781="High",$P781="Low"),"",IF($P781="Mix",SUMIF('High_Low Voltage Mix Summary'!$B$10:$B$17,$B524,'High_Low Voltage Mix Summary'!$H$10:$H$17),""))</f>
        <v/>
      </c>
      <c r="AB781" s="49">
        <f>SUMIF('Antelope Bailey Split BA'!$B$7:$B$29,B781,'Antelope Bailey Split BA'!$C$7:$C$29)</f>
        <v>0</v>
      </c>
      <c r="AC781" s="49" t="str">
        <f>IF(AND(AB781=1,'Plant Total by Account'!$H$1=2),"EKWRA","")</f>
        <v/>
      </c>
    </row>
    <row r="782" spans="1:29" x14ac:dyDescent="0.2">
      <c r="A782" s="39" t="s">
        <v>3228</v>
      </c>
      <c r="B782" s="45" t="s">
        <v>912</v>
      </c>
      <c r="C782" s="40" t="s">
        <v>3333</v>
      </c>
      <c r="D782" s="53">
        <v>729.35</v>
      </c>
      <c r="E782" s="53">
        <v>58832.83</v>
      </c>
      <c r="F782" s="53">
        <v>2103168.3400000003</v>
      </c>
      <c r="G782" s="578">
        <f t="shared" si="113"/>
        <v>2162730.5200000005</v>
      </c>
      <c r="H782" s="41"/>
      <c r="I782" s="41"/>
      <c r="J782" s="41"/>
      <c r="K782" s="41">
        <f t="shared" ref="K782:K844" si="115">D782</f>
        <v>729.35</v>
      </c>
      <c r="L782" s="41">
        <f t="shared" ref="L782:L844" si="116">E782</f>
        <v>58832.83</v>
      </c>
      <c r="M782" s="41">
        <f t="shared" ref="M782:M844" si="117">F782</f>
        <v>2103168.3400000003</v>
      </c>
      <c r="N782" s="363">
        <f t="shared" si="114"/>
        <v>0</v>
      </c>
      <c r="O782" s="43" t="s">
        <v>3309</v>
      </c>
      <c r="P782" s="43"/>
      <c r="R782" s="41">
        <f t="shared" si="110"/>
        <v>0</v>
      </c>
      <c r="S782" s="41">
        <f t="shared" si="111"/>
        <v>0</v>
      </c>
      <c r="T782" s="41">
        <f t="shared" si="112"/>
        <v>0</v>
      </c>
      <c r="U782" s="41"/>
      <c r="V782" s="44" t="str">
        <f>IF($P782="High",$S782,IF($P782="Mix",SUMIF('High_Low Voltage Mix Summary'!$B$10:$B$17,$B525,'High_Low Voltage Mix Summary'!$D$10:$D$17),""))</f>
        <v/>
      </c>
      <c r="W782" s="44" t="str">
        <f>IF($P782="Low",$S782,IF($P782="Mix",SUMIF('High_Low Voltage Mix Summary'!$B$10:$B$17,$B525,'High_Low Voltage Mix Summary'!$E$10:$E$17),""))</f>
        <v/>
      </c>
      <c r="X782" s="44" t="str">
        <f>IF($P782="High",$T782,IF($P782="Mix",SUMIF('High_Low Voltage Mix Summary'!$B$10:$B$17,$B525,'High_Low Voltage Mix Summary'!$F$10:$F$17),""))</f>
        <v/>
      </c>
      <c r="Y782" s="44" t="str">
        <f>IF($P782="Low",$T782,IF($P782="Mix",SUMIF('High_Low Voltage Mix Summary'!$B$10:$B$17,$B525,'High_Low Voltage Mix Summary'!$G$10:$G$17),""))</f>
        <v/>
      </c>
      <c r="Z782" s="44" t="str">
        <f>IF(OR($P782="High",$P782="Low"),"",IF($P782="Mix",SUMIF('High_Low Voltage Mix Summary'!$B$10:$B$17,$B525,'High_Low Voltage Mix Summary'!$H$10:$H$17),""))</f>
        <v/>
      </c>
      <c r="AB782" s="49">
        <f>SUMIF('Antelope Bailey Split BA'!$B$7:$B$29,B782,'Antelope Bailey Split BA'!$C$7:$C$29)</f>
        <v>0</v>
      </c>
      <c r="AC782" s="49" t="str">
        <f>IF(AND(AB782=1,'Plant Total by Account'!$H$1=2),"EKWRA","")</f>
        <v/>
      </c>
    </row>
    <row r="783" spans="1:29" x14ac:dyDescent="0.2">
      <c r="A783" s="39" t="s">
        <v>3229</v>
      </c>
      <c r="B783" s="45" t="s">
        <v>913</v>
      </c>
      <c r="C783" s="40" t="s">
        <v>3333</v>
      </c>
      <c r="D783" s="53">
        <v>1067.48</v>
      </c>
      <c r="E783" s="53">
        <v>5747.9000000000005</v>
      </c>
      <c r="F783" s="53">
        <v>210331.71</v>
      </c>
      <c r="G783" s="578">
        <f t="shared" si="113"/>
        <v>217147.09</v>
      </c>
      <c r="H783" s="41"/>
      <c r="I783" s="41"/>
      <c r="J783" s="41"/>
      <c r="K783" s="41">
        <f t="shared" si="115"/>
        <v>1067.48</v>
      </c>
      <c r="L783" s="41">
        <f t="shared" si="116"/>
        <v>5747.9000000000005</v>
      </c>
      <c r="M783" s="41">
        <f t="shared" si="117"/>
        <v>210331.71</v>
      </c>
      <c r="N783" s="363">
        <f t="shared" si="114"/>
        <v>0</v>
      </c>
      <c r="O783" s="43" t="s">
        <v>3309</v>
      </c>
      <c r="P783" s="43"/>
      <c r="R783" s="41">
        <f t="shared" si="110"/>
        <v>0</v>
      </c>
      <c r="S783" s="41">
        <f t="shared" si="111"/>
        <v>0</v>
      </c>
      <c r="T783" s="41">
        <f t="shared" si="112"/>
        <v>0</v>
      </c>
      <c r="U783" s="41"/>
      <c r="V783" s="44" t="str">
        <f>IF($P783="High",$S783,IF($P783="Mix",SUMIF('High_Low Voltage Mix Summary'!$B$10:$B$17,$B526,'High_Low Voltage Mix Summary'!$D$10:$D$17),""))</f>
        <v/>
      </c>
      <c r="W783" s="44" t="str">
        <f>IF($P783="Low",$S783,IF($P783="Mix",SUMIF('High_Low Voltage Mix Summary'!$B$10:$B$17,$B526,'High_Low Voltage Mix Summary'!$E$10:$E$17),""))</f>
        <v/>
      </c>
      <c r="X783" s="44" t="str">
        <f>IF($P783="High",$T783,IF($P783="Mix",SUMIF('High_Low Voltage Mix Summary'!$B$10:$B$17,$B526,'High_Low Voltage Mix Summary'!$F$10:$F$17),""))</f>
        <v/>
      </c>
      <c r="Y783" s="44" t="str">
        <f>IF($P783="Low",$T783,IF($P783="Mix",SUMIF('High_Low Voltage Mix Summary'!$B$10:$B$17,$B526,'High_Low Voltage Mix Summary'!$G$10:$G$17),""))</f>
        <v/>
      </c>
      <c r="Z783" s="44" t="str">
        <f>IF(OR($P783="High",$P783="Low"),"",IF($P783="Mix",SUMIF('High_Low Voltage Mix Summary'!$B$10:$B$17,$B526,'High_Low Voltage Mix Summary'!$H$10:$H$17),""))</f>
        <v/>
      </c>
      <c r="AB783" s="49">
        <f>SUMIF('Antelope Bailey Split BA'!$B$7:$B$29,B783,'Antelope Bailey Split BA'!$C$7:$C$29)</f>
        <v>0</v>
      </c>
      <c r="AC783" s="49" t="str">
        <f>IF(AND(AB783=1,'Plant Total by Account'!$H$1=2),"EKWRA","")</f>
        <v/>
      </c>
    </row>
    <row r="784" spans="1:29" x14ac:dyDescent="0.2">
      <c r="A784" s="39" t="s">
        <v>3230</v>
      </c>
      <c r="B784" s="45" t="s">
        <v>914</v>
      </c>
      <c r="C784" s="40" t="s">
        <v>3333</v>
      </c>
      <c r="D784" s="53">
        <v>4212.4799999999996</v>
      </c>
      <c r="E784" s="53">
        <v>137798.84</v>
      </c>
      <c r="F784" s="53">
        <v>1999014.4600000004</v>
      </c>
      <c r="G784" s="578">
        <f t="shared" si="113"/>
        <v>2141025.7800000003</v>
      </c>
      <c r="H784" s="41"/>
      <c r="I784" s="41"/>
      <c r="J784" s="41"/>
      <c r="K784" s="41">
        <f t="shared" si="115"/>
        <v>4212.4799999999996</v>
      </c>
      <c r="L784" s="41">
        <f t="shared" si="116"/>
        <v>137798.84</v>
      </c>
      <c r="M784" s="41">
        <f t="shared" si="117"/>
        <v>1999014.4600000004</v>
      </c>
      <c r="N784" s="363">
        <f t="shared" si="114"/>
        <v>0</v>
      </c>
      <c r="O784" s="43" t="s">
        <v>3309</v>
      </c>
      <c r="P784" s="43"/>
      <c r="R784" s="41">
        <f t="shared" si="110"/>
        <v>0</v>
      </c>
      <c r="S784" s="41">
        <f t="shared" si="111"/>
        <v>0</v>
      </c>
      <c r="T784" s="41">
        <f t="shared" si="112"/>
        <v>0</v>
      </c>
      <c r="U784" s="41"/>
      <c r="V784" s="44" t="str">
        <f>IF($P784="High",$S784,IF($P784="Mix",SUMIF('High_Low Voltage Mix Summary'!$B$10:$B$17,$B527,'High_Low Voltage Mix Summary'!$D$10:$D$17),""))</f>
        <v/>
      </c>
      <c r="W784" s="44" t="str">
        <f>IF($P784="Low",$S784,IF($P784="Mix",SUMIF('High_Low Voltage Mix Summary'!$B$10:$B$17,$B527,'High_Low Voltage Mix Summary'!$E$10:$E$17),""))</f>
        <v/>
      </c>
      <c r="X784" s="44" t="str">
        <f>IF($P784="High",$T784,IF($P784="Mix",SUMIF('High_Low Voltage Mix Summary'!$B$10:$B$17,$B527,'High_Low Voltage Mix Summary'!$F$10:$F$17),""))</f>
        <v/>
      </c>
      <c r="Y784" s="44" t="str">
        <f>IF($P784="Low",$T784,IF($P784="Mix",SUMIF('High_Low Voltage Mix Summary'!$B$10:$B$17,$B527,'High_Low Voltage Mix Summary'!$G$10:$G$17),""))</f>
        <v/>
      </c>
      <c r="Z784" s="44" t="str">
        <f>IF(OR($P784="High",$P784="Low"),"",IF($P784="Mix",SUMIF('High_Low Voltage Mix Summary'!$B$10:$B$17,$B527,'High_Low Voltage Mix Summary'!$H$10:$H$17),""))</f>
        <v/>
      </c>
      <c r="AB784" s="49">
        <f>SUMIF('Antelope Bailey Split BA'!$B$7:$B$29,B784,'Antelope Bailey Split BA'!$C$7:$C$29)</f>
        <v>0</v>
      </c>
      <c r="AC784" s="49" t="str">
        <f>IF(AND(AB784=1,'Plant Total by Account'!$H$1=2),"EKWRA","")</f>
        <v/>
      </c>
    </row>
    <row r="785" spans="1:29" x14ac:dyDescent="0.2">
      <c r="A785" s="39" t="s">
        <v>3231</v>
      </c>
      <c r="B785" s="45" t="s">
        <v>915</v>
      </c>
      <c r="C785" s="40" t="s">
        <v>3333</v>
      </c>
      <c r="D785" s="53">
        <v>0</v>
      </c>
      <c r="E785" s="53">
        <v>119811.65</v>
      </c>
      <c r="F785" s="53">
        <v>203391.54000000012</v>
      </c>
      <c r="G785" s="578">
        <f t="shared" si="113"/>
        <v>323203.19000000012</v>
      </c>
      <c r="H785" s="41"/>
      <c r="I785" s="41"/>
      <c r="J785" s="41"/>
      <c r="K785" s="41">
        <f t="shared" si="115"/>
        <v>0</v>
      </c>
      <c r="L785" s="41">
        <f t="shared" si="116"/>
        <v>119811.65</v>
      </c>
      <c r="M785" s="41">
        <f t="shared" si="117"/>
        <v>203391.54000000012</v>
      </c>
      <c r="N785" s="363">
        <f t="shared" si="114"/>
        <v>0</v>
      </c>
      <c r="O785" s="43" t="s">
        <v>3309</v>
      </c>
      <c r="P785" s="43"/>
      <c r="R785" s="41">
        <f t="shared" si="110"/>
        <v>0</v>
      </c>
      <c r="S785" s="41">
        <f t="shared" si="111"/>
        <v>0</v>
      </c>
      <c r="T785" s="41">
        <f t="shared" si="112"/>
        <v>0</v>
      </c>
      <c r="U785" s="41"/>
      <c r="V785" s="44" t="str">
        <f>IF($P785="High",$S785,IF($P785="Mix",SUMIF('High_Low Voltage Mix Summary'!$B$10:$B$17,$B528,'High_Low Voltage Mix Summary'!$D$10:$D$17),""))</f>
        <v/>
      </c>
      <c r="W785" s="44" t="str">
        <f>IF($P785="Low",$S785,IF($P785="Mix",SUMIF('High_Low Voltage Mix Summary'!$B$10:$B$17,$B528,'High_Low Voltage Mix Summary'!$E$10:$E$17),""))</f>
        <v/>
      </c>
      <c r="X785" s="44" t="str">
        <f>IF($P785="High",$T785,IF($P785="Mix",SUMIF('High_Low Voltage Mix Summary'!$B$10:$B$17,$B528,'High_Low Voltage Mix Summary'!$F$10:$F$17),""))</f>
        <v/>
      </c>
      <c r="Y785" s="44" t="str">
        <f>IF($P785="Low",$T785,IF($P785="Mix",SUMIF('High_Low Voltage Mix Summary'!$B$10:$B$17,$B528,'High_Low Voltage Mix Summary'!$G$10:$G$17),""))</f>
        <v/>
      </c>
      <c r="Z785" s="44" t="str">
        <f>IF(OR($P785="High",$P785="Low"),"",IF($P785="Mix",SUMIF('High_Low Voltage Mix Summary'!$B$10:$B$17,$B528,'High_Low Voltage Mix Summary'!$H$10:$H$17),""))</f>
        <v/>
      </c>
      <c r="AB785" s="49">
        <f>SUMIF('Antelope Bailey Split BA'!$B$7:$B$29,B785,'Antelope Bailey Split BA'!$C$7:$C$29)</f>
        <v>0</v>
      </c>
      <c r="AC785" s="49" t="str">
        <f>IF(AND(AB785=1,'Plant Total by Account'!$H$1=2),"EKWRA","")</f>
        <v/>
      </c>
    </row>
    <row r="786" spans="1:29" x14ac:dyDescent="0.2">
      <c r="A786" s="39" t="s">
        <v>3232</v>
      </c>
      <c r="B786" s="45" t="s">
        <v>916</v>
      </c>
      <c r="C786" s="40" t="s">
        <v>3333</v>
      </c>
      <c r="D786" s="53">
        <v>1361.77</v>
      </c>
      <c r="E786" s="53">
        <v>11705.03</v>
      </c>
      <c r="F786" s="53">
        <v>155116.76000000004</v>
      </c>
      <c r="G786" s="578">
        <f t="shared" si="113"/>
        <v>168183.56000000003</v>
      </c>
      <c r="H786" s="41"/>
      <c r="I786" s="41"/>
      <c r="J786" s="41"/>
      <c r="K786" s="41">
        <f t="shared" si="115"/>
        <v>1361.77</v>
      </c>
      <c r="L786" s="41">
        <f t="shared" si="116"/>
        <v>11705.03</v>
      </c>
      <c r="M786" s="41">
        <f t="shared" si="117"/>
        <v>155116.76000000004</v>
      </c>
      <c r="N786" s="363">
        <f t="shared" si="114"/>
        <v>0</v>
      </c>
      <c r="O786" s="43" t="s">
        <v>3309</v>
      </c>
      <c r="P786" s="43"/>
      <c r="R786" s="41">
        <f t="shared" si="110"/>
        <v>0</v>
      </c>
      <c r="S786" s="41">
        <f t="shared" si="111"/>
        <v>0</v>
      </c>
      <c r="T786" s="41">
        <f t="shared" si="112"/>
        <v>0</v>
      </c>
      <c r="U786" s="41"/>
      <c r="V786" s="44" t="str">
        <f>IF($P786="High",$S786,IF($P786="Mix",SUMIF('High_Low Voltage Mix Summary'!$B$10:$B$17,$B529,'High_Low Voltage Mix Summary'!$D$10:$D$17),""))</f>
        <v/>
      </c>
      <c r="W786" s="44" t="str">
        <f>IF($P786="Low",$S786,IF($P786="Mix",SUMIF('High_Low Voltage Mix Summary'!$B$10:$B$17,$B529,'High_Low Voltage Mix Summary'!$E$10:$E$17),""))</f>
        <v/>
      </c>
      <c r="X786" s="44" t="str">
        <f>IF($P786="High",$T786,IF($P786="Mix",SUMIF('High_Low Voltage Mix Summary'!$B$10:$B$17,$B529,'High_Low Voltage Mix Summary'!$F$10:$F$17),""))</f>
        <v/>
      </c>
      <c r="Y786" s="44" t="str">
        <f>IF($P786="Low",$T786,IF($P786="Mix",SUMIF('High_Low Voltage Mix Summary'!$B$10:$B$17,$B529,'High_Low Voltage Mix Summary'!$G$10:$G$17),""))</f>
        <v/>
      </c>
      <c r="Z786" s="44" t="str">
        <f>IF(OR($P786="High",$P786="Low"),"",IF($P786="Mix",SUMIF('High_Low Voltage Mix Summary'!$B$10:$B$17,$B529,'High_Low Voltage Mix Summary'!$H$10:$H$17),""))</f>
        <v/>
      </c>
      <c r="AB786" s="49">
        <f>SUMIF('Antelope Bailey Split BA'!$B$7:$B$29,B786,'Antelope Bailey Split BA'!$C$7:$C$29)</f>
        <v>0</v>
      </c>
      <c r="AC786" s="49" t="str">
        <f>IF(AND(AB786=1,'Plant Total by Account'!$H$1=2),"EKWRA","")</f>
        <v/>
      </c>
    </row>
    <row r="787" spans="1:29" x14ac:dyDescent="0.2">
      <c r="A787" s="39" t="s">
        <v>3233</v>
      </c>
      <c r="B787" s="45" t="s">
        <v>917</v>
      </c>
      <c r="C787" s="40" t="s">
        <v>3333</v>
      </c>
      <c r="D787" s="53">
        <v>470.65000000000003</v>
      </c>
      <c r="E787" s="53">
        <v>123403.77</v>
      </c>
      <c r="F787" s="53">
        <v>1527913.7499999998</v>
      </c>
      <c r="G787" s="578">
        <f t="shared" si="113"/>
        <v>1651788.1699999997</v>
      </c>
      <c r="H787" s="41"/>
      <c r="I787" s="41"/>
      <c r="J787" s="41"/>
      <c r="K787" s="41">
        <f t="shared" si="115"/>
        <v>470.65000000000003</v>
      </c>
      <c r="L787" s="41">
        <f t="shared" si="116"/>
        <v>123403.77</v>
      </c>
      <c r="M787" s="41">
        <f t="shared" si="117"/>
        <v>1527913.7499999998</v>
      </c>
      <c r="N787" s="363">
        <f t="shared" si="114"/>
        <v>0</v>
      </c>
      <c r="O787" s="43" t="s">
        <v>3309</v>
      </c>
      <c r="P787" s="43"/>
      <c r="R787" s="41">
        <f t="shared" si="110"/>
        <v>0</v>
      </c>
      <c r="S787" s="41">
        <f t="shared" si="111"/>
        <v>0</v>
      </c>
      <c r="T787" s="41">
        <f t="shared" si="112"/>
        <v>0</v>
      </c>
      <c r="U787" s="41"/>
      <c r="V787" s="44" t="str">
        <f>IF($P787="High",$S787,IF($P787="Mix",SUMIF('High_Low Voltage Mix Summary'!$B$10:$B$17,$B530,'High_Low Voltage Mix Summary'!$D$10:$D$17),""))</f>
        <v/>
      </c>
      <c r="W787" s="44" t="str">
        <f>IF($P787="Low",$S787,IF($P787="Mix",SUMIF('High_Low Voltage Mix Summary'!$B$10:$B$17,$B530,'High_Low Voltage Mix Summary'!$E$10:$E$17),""))</f>
        <v/>
      </c>
      <c r="X787" s="44" t="str">
        <f>IF($P787="High",$T787,IF($P787="Mix",SUMIF('High_Low Voltage Mix Summary'!$B$10:$B$17,$B530,'High_Low Voltage Mix Summary'!$F$10:$F$17),""))</f>
        <v/>
      </c>
      <c r="Y787" s="44" t="str">
        <f>IF($P787="Low",$T787,IF($P787="Mix",SUMIF('High_Low Voltage Mix Summary'!$B$10:$B$17,$B530,'High_Low Voltage Mix Summary'!$G$10:$G$17),""))</f>
        <v/>
      </c>
      <c r="Z787" s="44" t="str">
        <f>IF(OR($P787="High",$P787="Low"),"",IF($P787="Mix",SUMIF('High_Low Voltage Mix Summary'!$B$10:$B$17,$B530,'High_Low Voltage Mix Summary'!$H$10:$H$17),""))</f>
        <v/>
      </c>
      <c r="AB787" s="49">
        <f>SUMIF('Antelope Bailey Split BA'!$B$7:$B$29,B787,'Antelope Bailey Split BA'!$C$7:$C$29)</f>
        <v>0</v>
      </c>
      <c r="AC787" s="49" t="str">
        <f>IF(AND(AB787=1,'Plant Total by Account'!$H$1=2),"EKWRA","")</f>
        <v/>
      </c>
    </row>
    <row r="788" spans="1:29" x14ac:dyDescent="0.2">
      <c r="A788" s="39" t="s">
        <v>3234</v>
      </c>
      <c r="B788" s="45" t="s">
        <v>918</v>
      </c>
      <c r="C788" s="40" t="s">
        <v>3333</v>
      </c>
      <c r="D788" s="53">
        <v>367.53000000000003</v>
      </c>
      <c r="E788" s="53">
        <v>0</v>
      </c>
      <c r="F788" s="53">
        <v>258165.45</v>
      </c>
      <c r="G788" s="578">
        <f t="shared" si="113"/>
        <v>258532.98</v>
      </c>
      <c r="H788" s="41"/>
      <c r="I788" s="41"/>
      <c r="J788" s="41"/>
      <c r="K788" s="41">
        <f t="shared" si="115"/>
        <v>367.53000000000003</v>
      </c>
      <c r="L788" s="41">
        <f t="shared" si="116"/>
        <v>0</v>
      </c>
      <c r="M788" s="41">
        <f t="shared" si="117"/>
        <v>258165.45</v>
      </c>
      <c r="N788" s="363">
        <f t="shared" si="114"/>
        <v>0</v>
      </c>
      <c r="O788" s="43" t="s">
        <v>3309</v>
      </c>
      <c r="P788" s="43"/>
      <c r="R788" s="41">
        <f t="shared" si="110"/>
        <v>0</v>
      </c>
      <c r="S788" s="41">
        <f t="shared" si="111"/>
        <v>0</v>
      </c>
      <c r="T788" s="41">
        <f t="shared" si="112"/>
        <v>0</v>
      </c>
      <c r="U788" s="41"/>
      <c r="V788" s="44" t="str">
        <f>IF($P788="High",$S788,IF($P788="Mix",SUMIF('High_Low Voltage Mix Summary'!$B$10:$B$17,$B531,'High_Low Voltage Mix Summary'!$D$10:$D$17),""))</f>
        <v/>
      </c>
      <c r="W788" s="44" t="str">
        <f>IF($P788="Low",$S788,IF($P788="Mix",SUMIF('High_Low Voltage Mix Summary'!$B$10:$B$17,$B531,'High_Low Voltage Mix Summary'!$E$10:$E$17),""))</f>
        <v/>
      </c>
      <c r="X788" s="44" t="str">
        <f>IF($P788="High",$T788,IF($P788="Mix",SUMIF('High_Low Voltage Mix Summary'!$B$10:$B$17,$B531,'High_Low Voltage Mix Summary'!$F$10:$F$17),""))</f>
        <v/>
      </c>
      <c r="Y788" s="44" t="str">
        <f>IF($P788="Low",$T788,IF($P788="Mix",SUMIF('High_Low Voltage Mix Summary'!$B$10:$B$17,$B531,'High_Low Voltage Mix Summary'!$G$10:$G$17),""))</f>
        <v/>
      </c>
      <c r="Z788" s="44" t="str">
        <f>IF(OR($P788="High",$P788="Low"),"",IF($P788="Mix",SUMIF('High_Low Voltage Mix Summary'!$B$10:$B$17,$B531,'High_Low Voltage Mix Summary'!$H$10:$H$17),""))</f>
        <v/>
      </c>
      <c r="AB788" s="49">
        <f>SUMIF('Antelope Bailey Split BA'!$B$7:$B$29,B788,'Antelope Bailey Split BA'!$C$7:$C$29)</f>
        <v>0</v>
      </c>
      <c r="AC788" s="49" t="str">
        <f>IF(AND(AB788=1,'Plant Total by Account'!$H$1=2),"EKWRA","")</f>
        <v/>
      </c>
    </row>
    <row r="789" spans="1:29" x14ac:dyDescent="0.2">
      <c r="A789" s="39" t="s">
        <v>2566</v>
      </c>
      <c r="B789" s="45" t="s">
        <v>919</v>
      </c>
      <c r="C789" s="40" t="s">
        <v>3333</v>
      </c>
      <c r="D789" s="53">
        <v>564.65</v>
      </c>
      <c r="E789" s="53">
        <v>0</v>
      </c>
      <c r="F789" s="53">
        <v>230501.08</v>
      </c>
      <c r="G789" s="578">
        <f t="shared" si="113"/>
        <v>231065.72999999998</v>
      </c>
      <c r="H789" s="41"/>
      <c r="I789" s="41"/>
      <c r="J789" s="41"/>
      <c r="K789" s="41">
        <f t="shared" si="115"/>
        <v>564.65</v>
      </c>
      <c r="L789" s="41">
        <f t="shared" si="116"/>
        <v>0</v>
      </c>
      <c r="M789" s="41">
        <f t="shared" si="117"/>
        <v>230501.08</v>
      </c>
      <c r="N789" s="363">
        <f t="shared" si="114"/>
        <v>0</v>
      </c>
      <c r="O789" s="43" t="s">
        <v>3309</v>
      </c>
      <c r="P789" s="43"/>
      <c r="R789" s="41">
        <f t="shared" si="110"/>
        <v>0</v>
      </c>
      <c r="S789" s="41">
        <f t="shared" si="111"/>
        <v>0</v>
      </c>
      <c r="T789" s="41">
        <f t="shared" si="112"/>
        <v>0</v>
      </c>
      <c r="U789" s="41"/>
      <c r="V789" s="44" t="str">
        <f>IF($P789="High",$S789,IF($P789="Mix",SUMIF('High_Low Voltage Mix Summary'!$B$10:$B$17,$B532,'High_Low Voltage Mix Summary'!$D$10:$D$17),""))</f>
        <v/>
      </c>
      <c r="W789" s="44" t="str">
        <f>IF($P789="Low",$S789,IF($P789="Mix",SUMIF('High_Low Voltage Mix Summary'!$B$10:$B$17,$B532,'High_Low Voltage Mix Summary'!$E$10:$E$17),""))</f>
        <v/>
      </c>
      <c r="X789" s="44" t="str">
        <f>IF($P789="High",$T789,IF($P789="Mix",SUMIF('High_Low Voltage Mix Summary'!$B$10:$B$17,$B532,'High_Low Voltage Mix Summary'!$F$10:$F$17),""))</f>
        <v/>
      </c>
      <c r="Y789" s="44" t="str">
        <f>IF($P789="Low",$T789,IF($P789="Mix",SUMIF('High_Low Voltage Mix Summary'!$B$10:$B$17,$B532,'High_Low Voltage Mix Summary'!$G$10:$G$17),""))</f>
        <v/>
      </c>
      <c r="Z789" s="44" t="str">
        <f>IF(OR($P789="High",$P789="Low"),"",IF($P789="Mix",SUMIF('High_Low Voltage Mix Summary'!$B$10:$B$17,$B532,'High_Low Voltage Mix Summary'!$H$10:$H$17),""))</f>
        <v/>
      </c>
      <c r="AB789" s="49">
        <f>SUMIF('Antelope Bailey Split BA'!$B$7:$B$29,B789,'Antelope Bailey Split BA'!$C$7:$C$29)</f>
        <v>0</v>
      </c>
      <c r="AC789" s="49" t="str">
        <f>IF(AND(AB789=1,'Plant Total by Account'!$H$1=2),"EKWRA","")</f>
        <v/>
      </c>
    </row>
    <row r="790" spans="1:29" x14ac:dyDescent="0.2">
      <c r="A790" s="39" t="s">
        <v>3235</v>
      </c>
      <c r="B790" s="45" t="s">
        <v>920</v>
      </c>
      <c r="C790" s="40" t="s">
        <v>3333</v>
      </c>
      <c r="D790" s="53">
        <v>1071.8499999999999</v>
      </c>
      <c r="E790" s="53">
        <v>86.73</v>
      </c>
      <c r="F790" s="53">
        <v>155658.25000000003</v>
      </c>
      <c r="G790" s="578">
        <f t="shared" si="113"/>
        <v>156816.83000000002</v>
      </c>
      <c r="H790" s="41"/>
      <c r="I790" s="41"/>
      <c r="J790" s="41"/>
      <c r="K790" s="41">
        <f t="shared" si="115"/>
        <v>1071.8499999999999</v>
      </c>
      <c r="L790" s="41">
        <f t="shared" si="116"/>
        <v>86.73</v>
      </c>
      <c r="M790" s="41">
        <f t="shared" si="117"/>
        <v>155658.25000000003</v>
      </c>
      <c r="N790" s="363">
        <f t="shared" si="114"/>
        <v>0</v>
      </c>
      <c r="O790" s="43" t="s">
        <v>3309</v>
      </c>
      <c r="P790" s="43"/>
      <c r="R790" s="41">
        <f t="shared" si="110"/>
        <v>0</v>
      </c>
      <c r="S790" s="41">
        <f t="shared" si="111"/>
        <v>0</v>
      </c>
      <c r="T790" s="41">
        <f t="shared" si="112"/>
        <v>0</v>
      </c>
      <c r="U790" s="41"/>
      <c r="V790" s="44" t="str">
        <f>IF($P790="High",$S790,IF($P790="Mix",SUMIF('High_Low Voltage Mix Summary'!$B$10:$B$17,$B533,'High_Low Voltage Mix Summary'!$D$10:$D$17),""))</f>
        <v/>
      </c>
      <c r="W790" s="44" t="str">
        <f>IF($P790="Low",$S790,IF($P790="Mix",SUMIF('High_Low Voltage Mix Summary'!$B$10:$B$17,$B533,'High_Low Voltage Mix Summary'!$E$10:$E$17),""))</f>
        <v/>
      </c>
      <c r="X790" s="44" t="str">
        <f>IF($P790="High",$T790,IF($P790="Mix",SUMIF('High_Low Voltage Mix Summary'!$B$10:$B$17,$B533,'High_Low Voltage Mix Summary'!$F$10:$F$17),""))</f>
        <v/>
      </c>
      <c r="Y790" s="44" t="str">
        <f>IF($P790="Low",$T790,IF($P790="Mix",SUMIF('High_Low Voltage Mix Summary'!$B$10:$B$17,$B533,'High_Low Voltage Mix Summary'!$G$10:$G$17),""))</f>
        <v/>
      </c>
      <c r="Z790" s="44" t="str">
        <f>IF(OR($P790="High",$P790="Low"),"",IF($P790="Mix",SUMIF('High_Low Voltage Mix Summary'!$B$10:$B$17,$B533,'High_Low Voltage Mix Summary'!$H$10:$H$17),""))</f>
        <v/>
      </c>
      <c r="AB790" s="49">
        <f>SUMIF('Antelope Bailey Split BA'!$B$7:$B$29,B790,'Antelope Bailey Split BA'!$C$7:$C$29)</f>
        <v>0</v>
      </c>
      <c r="AC790" s="49" t="str">
        <f>IF(AND(AB790=1,'Plant Total by Account'!$H$1=2),"EKWRA","")</f>
        <v/>
      </c>
    </row>
    <row r="791" spans="1:29" x14ac:dyDescent="0.2">
      <c r="A791" s="39" t="s">
        <v>3236</v>
      </c>
      <c r="B791" s="45" t="s">
        <v>921</v>
      </c>
      <c r="C791" s="40" t="s">
        <v>3334</v>
      </c>
      <c r="D791" s="53">
        <v>0</v>
      </c>
      <c r="E791" s="53">
        <v>0</v>
      </c>
      <c r="F791" s="53">
        <v>20648.89</v>
      </c>
      <c r="G791" s="578">
        <f t="shared" si="113"/>
        <v>20648.89</v>
      </c>
      <c r="H791" s="41"/>
      <c r="I791" s="41"/>
      <c r="J791" s="41"/>
      <c r="K791" s="41">
        <f t="shared" si="115"/>
        <v>0</v>
      </c>
      <c r="L791" s="41">
        <f t="shared" si="116"/>
        <v>0</v>
      </c>
      <c r="M791" s="41">
        <f t="shared" si="117"/>
        <v>20648.89</v>
      </c>
      <c r="N791" s="363">
        <f t="shared" si="114"/>
        <v>0</v>
      </c>
      <c r="O791" s="43" t="s">
        <v>3309</v>
      </c>
      <c r="P791" s="43"/>
      <c r="R791" s="41">
        <f t="shared" si="110"/>
        <v>0</v>
      </c>
      <c r="S791" s="41">
        <f t="shared" si="111"/>
        <v>0</v>
      </c>
      <c r="T791" s="41">
        <f t="shared" si="112"/>
        <v>0</v>
      </c>
      <c r="U791" s="41"/>
      <c r="V791" s="44" t="str">
        <f>IF($P791="High",$S791,IF($P791="Mix",SUMIF('High_Low Voltage Mix Summary'!$B$10:$B$17,$B534,'High_Low Voltage Mix Summary'!$D$10:$D$17),""))</f>
        <v/>
      </c>
      <c r="W791" s="44" t="str">
        <f>IF($P791="Low",$S791,IF($P791="Mix",SUMIF('High_Low Voltage Mix Summary'!$B$10:$B$17,$B534,'High_Low Voltage Mix Summary'!$E$10:$E$17),""))</f>
        <v/>
      </c>
      <c r="X791" s="44" t="str">
        <f>IF($P791="High",$T791,IF($P791="Mix",SUMIF('High_Low Voltage Mix Summary'!$B$10:$B$17,$B534,'High_Low Voltage Mix Summary'!$F$10:$F$17),""))</f>
        <v/>
      </c>
      <c r="Y791" s="44" t="str">
        <f>IF($P791="Low",$T791,IF($P791="Mix",SUMIF('High_Low Voltage Mix Summary'!$B$10:$B$17,$B534,'High_Low Voltage Mix Summary'!$G$10:$G$17),""))</f>
        <v/>
      </c>
      <c r="Z791" s="44" t="str">
        <f>IF(OR($P791="High",$P791="Low"),"",IF($P791="Mix",SUMIF('High_Low Voltage Mix Summary'!$B$10:$B$17,$B534,'High_Low Voltage Mix Summary'!$H$10:$H$17),""))</f>
        <v/>
      </c>
      <c r="AB791" s="49">
        <f>SUMIF('Antelope Bailey Split BA'!$B$7:$B$29,B791,'Antelope Bailey Split BA'!$C$7:$C$29)</f>
        <v>0</v>
      </c>
      <c r="AC791" s="49" t="str">
        <f>IF(AND(AB791=1,'Plant Total by Account'!$H$1=2),"EKWRA","")</f>
        <v/>
      </c>
    </row>
    <row r="792" spans="1:29" x14ac:dyDescent="0.2">
      <c r="A792" s="39" t="s">
        <v>2567</v>
      </c>
      <c r="B792" s="45" t="s">
        <v>2242</v>
      </c>
      <c r="C792" s="40" t="s">
        <v>3237</v>
      </c>
      <c r="D792" s="53">
        <v>0</v>
      </c>
      <c r="E792" s="53">
        <v>17441.689999999999</v>
      </c>
      <c r="F792" s="53">
        <v>0</v>
      </c>
      <c r="G792" s="578">
        <f t="shared" si="113"/>
        <v>17441.689999999999</v>
      </c>
      <c r="H792" s="41"/>
      <c r="I792" s="41"/>
      <c r="J792" s="41"/>
      <c r="K792" s="41">
        <f t="shared" si="115"/>
        <v>0</v>
      </c>
      <c r="L792" s="41">
        <f t="shared" si="116"/>
        <v>17441.689999999999</v>
      </c>
      <c r="M792" s="41">
        <f t="shared" si="117"/>
        <v>0</v>
      </c>
      <c r="N792" s="363">
        <f t="shared" si="114"/>
        <v>0</v>
      </c>
      <c r="O792" s="43" t="s">
        <v>3309</v>
      </c>
      <c r="P792" s="43"/>
      <c r="R792" s="41">
        <f t="shared" si="110"/>
        <v>0</v>
      </c>
      <c r="S792" s="41">
        <f t="shared" si="111"/>
        <v>0</v>
      </c>
      <c r="T792" s="41">
        <f t="shared" si="112"/>
        <v>0</v>
      </c>
      <c r="U792" s="41"/>
      <c r="V792" s="44" t="str">
        <f>IF($P792="High",$S792,IF($P792="Mix",SUMIF('High_Low Voltage Mix Summary'!$B$10:$B$17,$B535,'High_Low Voltage Mix Summary'!$D$10:$D$17),""))</f>
        <v/>
      </c>
      <c r="W792" s="44" t="str">
        <f>IF($P792="Low",$S792,IF($P792="Mix",SUMIF('High_Low Voltage Mix Summary'!$B$10:$B$17,$B535,'High_Low Voltage Mix Summary'!$E$10:$E$17),""))</f>
        <v/>
      </c>
      <c r="X792" s="44" t="str">
        <f>IF($P792="High",$T792,IF($P792="Mix",SUMIF('High_Low Voltage Mix Summary'!$B$10:$B$17,$B535,'High_Low Voltage Mix Summary'!$F$10:$F$17),""))</f>
        <v/>
      </c>
      <c r="Y792" s="44" t="str">
        <f>IF($P792="Low",$T792,IF($P792="Mix",SUMIF('High_Low Voltage Mix Summary'!$B$10:$B$17,$B535,'High_Low Voltage Mix Summary'!$G$10:$G$17),""))</f>
        <v/>
      </c>
      <c r="Z792" s="44" t="str">
        <f>IF(OR($P792="High",$P792="Low"),"",IF($P792="Mix",SUMIF('High_Low Voltage Mix Summary'!$B$10:$B$17,$B535,'High_Low Voltage Mix Summary'!$H$10:$H$17),""))</f>
        <v/>
      </c>
      <c r="AB792" s="49">
        <f>SUMIF('Antelope Bailey Split BA'!$B$7:$B$29,B792,'Antelope Bailey Split BA'!$C$7:$C$29)</f>
        <v>0</v>
      </c>
      <c r="AC792" s="49" t="str">
        <f>IF(AND(AB792=1,'Plant Total by Account'!$H$1=2),"EKWRA","")</f>
        <v/>
      </c>
    </row>
    <row r="793" spans="1:29" x14ac:dyDescent="0.2">
      <c r="A793" s="39" t="s">
        <v>3238</v>
      </c>
      <c r="B793" s="45" t="s">
        <v>922</v>
      </c>
      <c r="C793" s="40" t="s">
        <v>3333</v>
      </c>
      <c r="D793" s="53">
        <v>0</v>
      </c>
      <c r="E793" s="53">
        <v>4851.96</v>
      </c>
      <c r="F793" s="53">
        <v>93022.22</v>
      </c>
      <c r="G793" s="578">
        <f t="shared" si="113"/>
        <v>97874.180000000008</v>
      </c>
      <c r="H793" s="41"/>
      <c r="I793" s="41"/>
      <c r="J793" s="41"/>
      <c r="K793" s="41">
        <f t="shared" si="115"/>
        <v>0</v>
      </c>
      <c r="L793" s="41">
        <f t="shared" si="116"/>
        <v>4851.96</v>
      </c>
      <c r="M793" s="41">
        <f t="shared" si="117"/>
        <v>93022.22</v>
      </c>
      <c r="N793" s="363">
        <f t="shared" si="114"/>
        <v>0</v>
      </c>
      <c r="O793" s="43" t="s">
        <v>3309</v>
      </c>
      <c r="P793" s="43"/>
      <c r="R793" s="41">
        <f t="shared" si="110"/>
        <v>0</v>
      </c>
      <c r="S793" s="41">
        <f t="shared" si="111"/>
        <v>0</v>
      </c>
      <c r="T793" s="41">
        <f t="shared" si="112"/>
        <v>0</v>
      </c>
      <c r="U793" s="41"/>
      <c r="V793" s="44" t="str">
        <f>IF($P793="High",$S793,IF($P793="Mix",SUMIF('High_Low Voltage Mix Summary'!$B$10:$B$17,$B536,'High_Low Voltage Mix Summary'!$D$10:$D$17),""))</f>
        <v/>
      </c>
      <c r="W793" s="44" t="str">
        <f>IF($P793="Low",$S793,IF($P793="Mix",SUMIF('High_Low Voltage Mix Summary'!$B$10:$B$17,$B536,'High_Low Voltage Mix Summary'!$E$10:$E$17),""))</f>
        <v/>
      </c>
      <c r="X793" s="44" t="str">
        <f>IF($P793="High",$T793,IF($P793="Mix",SUMIF('High_Low Voltage Mix Summary'!$B$10:$B$17,$B536,'High_Low Voltage Mix Summary'!$F$10:$F$17),""))</f>
        <v/>
      </c>
      <c r="Y793" s="44" t="str">
        <f>IF($P793="Low",$T793,IF($P793="Mix",SUMIF('High_Low Voltage Mix Summary'!$B$10:$B$17,$B536,'High_Low Voltage Mix Summary'!$G$10:$G$17),""))</f>
        <v/>
      </c>
      <c r="Z793" s="44" t="str">
        <f>IF(OR($P793="High",$P793="Low"),"",IF($P793="Mix",SUMIF('High_Low Voltage Mix Summary'!$B$10:$B$17,$B536,'High_Low Voltage Mix Summary'!$H$10:$H$17),""))</f>
        <v/>
      </c>
      <c r="AB793" s="49">
        <f>SUMIF('Antelope Bailey Split BA'!$B$7:$B$29,B793,'Antelope Bailey Split BA'!$C$7:$C$29)</f>
        <v>0</v>
      </c>
      <c r="AC793" s="49" t="str">
        <f>IF(AND(AB793=1,'Plant Total by Account'!$H$1=2),"EKWRA","")</f>
        <v/>
      </c>
    </row>
    <row r="794" spans="1:29" x14ac:dyDescent="0.2">
      <c r="A794" s="39" t="s">
        <v>3239</v>
      </c>
      <c r="B794" s="45" t="s">
        <v>923</v>
      </c>
      <c r="C794" s="40" t="s">
        <v>3334</v>
      </c>
      <c r="D794" s="53">
        <v>62251.45</v>
      </c>
      <c r="E794" s="53">
        <v>111531.65</v>
      </c>
      <c r="F794" s="53">
        <v>7625196.9900000002</v>
      </c>
      <c r="G794" s="578">
        <f t="shared" si="113"/>
        <v>7798980.0899999999</v>
      </c>
      <c r="H794" s="41"/>
      <c r="I794" s="41"/>
      <c r="J794" s="41"/>
      <c r="K794" s="41">
        <f t="shared" si="115"/>
        <v>62251.45</v>
      </c>
      <c r="L794" s="41">
        <f t="shared" si="116"/>
        <v>111531.65</v>
      </c>
      <c r="M794" s="41">
        <f t="shared" si="117"/>
        <v>7625196.9900000002</v>
      </c>
      <c r="N794" s="363">
        <f t="shared" si="114"/>
        <v>0</v>
      </c>
      <c r="O794" s="43" t="s">
        <v>3309</v>
      </c>
      <c r="P794" s="43"/>
      <c r="R794" s="41">
        <f t="shared" si="110"/>
        <v>0</v>
      </c>
      <c r="S794" s="41">
        <f t="shared" si="111"/>
        <v>0</v>
      </c>
      <c r="T794" s="41">
        <f t="shared" si="112"/>
        <v>0</v>
      </c>
      <c r="U794" s="41"/>
      <c r="V794" s="44" t="str">
        <f>IF($P794="High",$S794,IF($P794="Mix",SUMIF('High_Low Voltage Mix Summary'!$B$10:$B$17,$B537,'High_Low Voltage Mix Summary'!$D$10:$D$17),""))</f>
        <v/>
      </c>
      <c r="W794" s="44" t="str">
        <f>IF($P794="Low",$S794,IF($P794="Mix",SUMIF('High_Low Voltage Mix Summary'!$B$10:$B$17,$B537,'High_Low Voltage Mix Summary'!$E$10:$E$17),""))</f>
        <v/>
      </c>
      <c r="X794" s="44" t="str">
        <f>IF($P794="High",$T794,IF($P794="Mix",SUMIF('High_Low Voltage Mix Summary'!$B$10:$B$17,$B537,'High_Low Voltage Mix Summary'!$F$10:$F$17),""))</f>
        <v/>
      </c>
      <c r="Y794" s="44" t="str">
        <f>IF($P794="Low",$T794,IF($P794="Mix",SUMIF('High_Low Voltage Mix Summary'!$B$10:$B$17,$B537,'High_Low Voltage Mix Summary'!$G$10:$G$17),""))</f>
        <v/>
      </c>
      <c r="Z794" s="44" t="str">
        <f>IF(OR($P794="High",$P794="Low"),"",IF($P794="Mix",SUMIF('High_Low Voltage Mix Summary'!$B$10:$B$17,$B537,'High_Low Voltage Mix Summary'!$H$10:$H$17),""))</f>
        <v/>
      </c>
      <c r="AB794" s="49">
        <f>SUMIF('Antelope Bailey Split BA'!$B$7:$B$29,B794,'Antelope Bailey Split BA'!$C$7:$C$29)</f>
        <v>0</v>
      </c>
      <c r="AC794" s="49" t="str">
        <f>IF(AND(AB794=1,'Plant Total by Account'!$H$1=2),"EKWRA","")</f>
        <v/>
      </c>
    </row>
    <row r="795" spans="1:29" x14ac:dyDescent="0.2">
      <c r="A795" s="39" t="s">
        <v>3240</v>
      </c>
      <c r="B795" s="45" t="s">
        <v>924</v>
      </c>
      <c r="C795" s="40" t="s">
        <v>3334</v>
      </c>
      <c r="D795" s="53">
        <v>10198.66</v>
      </c>
      <c r="E795" s="53">
        <v>628536.56999999995</v>
      </c>
      <c r="F795" s="53">
        <v>18113430.960000005</v>
      </c>
      <c r="G795" s="578">
        <f t="shared" si="113"/>
        <v>18752166.190000005</v>
      </c>
      <c r="H795" s="41"/>
      <c r="I795" s="41"/>
      <c r="J795" s="41"/>
      <c r="K795" s="41">
        <f t="shared" si="115"/>
        <v>10198.66</v>
      </c>
      <c r="L795" s="41">
        <f t="shared" si="116"/>
        <v>628536.56999999995</v>
      </c>
      <c r="M795" s="41">
        <f t="shared" si="117"/>
        <v>18113430.960000005</v>
      </c>
      <c r="N795" s="363">
        <f t="shared" si="114"/>
        <v>0</v>
      </c>
      <c r="O795" s="43" t="s">
        <v>3309</v>
      </c>
      <c r="P795" s="43"/>
      <c r="R795" s="41">
        <f t="shared" si="110"/>
        <v>0</v>
      </c>
      <c r="S795" s="41">
        <f t="shared" si="111"/>
        <v>0</v>
      </c>
      <c r="T795" s="41">
        <f t="shared" si="112"/>
        <v>0</v>
      </c>
      <c r="U795" s="41"/>
      <c r="V795" s="44" t="str">
        <f>IF($P795="High",$S795,IF($P795="Mix",SUMIF('High_Low Voltage Mix Summary'!$B$10:$B$17,$B538,'High_Low Voltage Mix Summary'!$D$10:$D$17),""))</f>
        <v/>
      </c>
      <c r="W795" s="44" t="str">
        <f>IF($P795="Low",$S795,IF($P795="Mix",SUMIF('High_Low Voltage Mix Summary'!$B$10:$B$17,$B538,'High_Low Voltage Mix Summary'!$E$10:$E$17),""))</f>
        <v/>
      </c>
      <c r="X795" s="44" t="str">
        <f>IF($P795="High",$T795,IF($P795="Mix",SUMIF('High_Low Voltage Mix Summary'!$B$10:$B$17,$B538,'High_Low Voltage Mix Summary'!$F$10:$F$17),""))</f>
        <v/>
      </c>
      <c r="Y795" s="44" t="str">
        <f>IF($P795="Low",$T795,IF($P795="Mix",SUMIF('High_Low Voltage Mix Summary'!$B$10:$B$17,$B538,'High_Low Voltage Mix Summary'!$G$10:$G$17),""))</f>
        <v/>
      </c>
      <c r="Z795" s="44" t="str">
        <f>IF(OR($P795="High",$P795="Low"),"",IF($P795="Mix",SUMIF('High_Low Voltage Mix Summary'!$B$10:$B$17,$B538,'High_Low Voltage Mix Summary'!$H$10:$H$17),""))</f>
        <v/>
      </c>
      <c r="AB795" s="49">
        <f>SUMIF('Antelope Bailey Split BA'!$B$7:$B$29,B795,'Antelope Bailey Split BA'!$C$7:$C$29)</f>
        <v>0</v>
      </c>
      <c r="AC795" s="49" t="str">
        <f>IF(AND(AB795=1,'Plant Total by Account'!$H$1=2),"EKWRA","")</f>
        <v/>
      </c>
    </row>
    <row r="796" spans="1:29" x14ac:dyDescent="0.2">
      <c r="A796" s="39" t="s">
        <v>2568</v>
      </c>
      <c r="B796" s="45" t="s">
        <v>925</v>
      </c>
      <c r="C796" s="40" t="s">
        <v>3333</v>
      </c>
      <c r="D796" s="53">
        <v>1974.8300000000002</v>
      </c>
      <c r="E796" s="53">
        <v>104038.18999999999</v>
      </c>
      <c r="F796" s="53">
        <v>734191.60000000021</v>
      </c>
      <c r="G796" s="578">
        <f t="shared" si="113"/>
        <v>840204.62000000023</v>
      </c>
      <c r="H796" s="41"/>
      <c r="I796" s="41"/>
      <c r="J796" s="41"/>
      <c r="K796" s="41">
        <f t="shared" si="115"/>
        <v>1974.8300000000002</v>
      </c>
      <c r="L796" s="41">
        <f t="shared" si="116"/>
        <v>104038.18999999999</v>
      </c>
      <c r="M796" s="41">
        <f t="shared" si="117"/>
        <v>734191.60000000021</v>
      </c>
      <c r="N796" s="363">
        <f t="shared" si="114"/>
        <v>0</v>
      </c>
      <c r="O796" s="43" t="s">
        <v>3309</v>
      </c>
      <c r="P796" s="43"/>
      <c r="R796" s="41">
        <f t="shared" si="110"/>
        <v>0</v>
      </c>
      <c r="S796" s="41">
        <f t="shared" si="111"/>
        <v>0</v>
      </c>
      <c r="T796" s="41">
        <f t="shared" si="112"/>
        <v>0</v>
      </c>
      <c r="U796" s="41"/>
      <c r="V796" s="44" t="str">
        <f>IF($P796="High",$S796,IF($P796="Mix",SUMIF('High_Low Voltage Mix Summary'!$B$10:$B$17,$B539,'High_Low Voltage Mix Summary'!$D$10:$D$17),""))</f>
        <v/>
      </c>
      <c r="W796" s="44" t="str">
        <f>IF($P796="Low",$S796,IF($P796="Mix",SUMIF('High_Low Voltage Mix Summary'!$B$10:$B$17,$B539,'High_Low Voltage Mix Summary'!$E$10:$E$17),""))</f>
        <v/>
      </c>
      <c r="X796" s="44" t="str">
        <f>IF($P796="High",$T796,IF($P796="Mix",SUMIF('High_Low Voltage Mix Summary'!$B$10:$B$17,$B539,'High_Low Voltage Mix Summary'!$F$10:$F$17),""))</f>
        <v/>
      </c>
      <c r="Y796" s="44" t="str">
        <f>IF($P796="Low",$T796,IF($P796="Mix",SUMIF('High_Low Voltage Mix Summary'!$B$10:$B$17,$B539,'High_Low Voltage Mix Summary'!$G$10:$G$17),""))</f>
        <v/>
      </c>
      <c r="Z796" s="44" t="str">
        <f>IF(OR($P796="High",$P796="Low"),"",IF($P796="Mix",SUMIF('High_Low Voltage Mix Summary'!$B$10:$B$17,$B539,'High_Low Voltage Mix Summary'!$H$10:$H$17),""))</f>
        <v/>
      </c>
      <c r="AB796" s="49">
        <f>SUMIF('Antelope Bailey Split BA'!$B$7:$B$29,B796,'Antelope Bailey Split BA'!$C$7:$C$29)</f>
        <v>0</v>
      </c>
      <c r="AC796" s="49" t="str">
        <f>IF(AND(AB796=1,'Plant Total by Account'!$H$1=2),"EKWRA","")</f>
        <v/>
      </c>
    </row>
    <row r="797" spans="1:29" x14ac:dyDescent="0.2">
      <c r="A797" s="39" t="s">
        <v>3241</v>
      </c>
      <c r="B797" s="45" t="s">
        <v>926</v>
      </c>
      <c r="C797" s="40" t="s">
        <v>3333</v>
      </c>
      <c r="D797" s="53">
        <v>0</v>
      </c>
      <c r="E797" s="53">
        <v>19777.29</v>
      </c>
      <c r="F797" s="53">
        <v>764629.09999999974</v>
      </c>
      <c r="G797" s="578">
        <f t="shared" si="113"/>
        <v>784406.38999999978</v>
      </c>
      <c r="H797" s="41"/>
      <c r="I797" s="41"/>
      <c r="J797" s="41"/>
      <c r="K797" s="41">
        <f t="shared" si="115"/>
        <v>0</v>
      </c>
      <c r="L797" s="41">
        <f t="shared" si="116"/>
        <v>19777.29</v>
      </c>
      <c r="M797" s="41">
        <f t="shared" si="117"/>
        <v>764629.09999999974</v>
      </c>
      <c r="N797" s="363">
        <f t="shared" si="114"/>
        <v>0</v>
      </c>
      <c r="O797" s="43" t="s">
        <v>3309</v>
      </c>
      <c r="P797" s="43"/>
      <c r="R797" s="41">
        <f t="shared" si="110"/>
        <v>0</v>
      </c>
      <c r="S797" s="41">
        <f t="shared" si="111"/>
        <v>0</v>
      </c>
      <c r="T797" s="41">
        <f t="shared" si="112"/>
        <v>0</v>
      </c>
      <c r="U797" s="41"/>
      <c r="V797" s="44" t="str">
        <f>IF($P797="High",$S797,IF($P797="Mix",SUMIF('High_Low Voltage Mix Summary'!$B$10:$B$17,$B540,'High_Low Voltage Mix Summary'!$D$10:$D$17),""))</f>
        <v/>
      </c>
      <c r="W797" s="44" t="str">
        <f>IF($P797="Low",$S797,IF($P797="Mix",SUMIF('High_Low Voltage Mix Summary'!$B$10:$B$17,$B540,'High_Low Voltage Mix Summary'!$E$10:$E$17),""))</f>
        <v/>
      </c>
      <c r="X797" s="44" t="str">
        <f>IF($P797="High",$T797,IF($P797="Mix",SUMIF('High_Low Voltage Mix Summary'!$B$10:$B$17,$B540,'High_Low Voltage Mix Summary'!$F$10:$F$17),""))</f>
        <v/>
      </c>
      <c r="Y797" s="44" t="str">
        <f>IF($P797="Low",$T797,IF($P797="Mix",SUMIF('High_Low Voltage Mix Summary'!$B$10:$B$17,$B540,'High_Low Voltage Mix Summary'!$G$10:$G$17),""))</f>
        <v/>
      </c>
      <c r="Z797" s="44" t="str">
        <f>IF(OR($P797="High",$P797="Low"),"",IF($P797="Mix",SUMIF('High_Low Voltage Mix Summary'!$B$10:$B$17,$B540,'High_Low Voltage Mix Summary'!$H$10:$H$17),""))</f>
        <v/>
      </c>
      <c r="AB797" s="49">
        <f>SUMIF('Antelope Bailey Split BA'!$B$7:$B$29,B797,'Antelope Bailey Split BA'!$C$7:$C$29)</f>
        <v>0</v>
      </c>
      <c r="AC797" s="49" t="str">
        <f>IF(AND(AB797=1,'Plant Total by Account'!$H$1=2),"EKWRA","")</f>
        <v/>
      </c>
    </row>
    <row r="798" spans="1:29" x14ac:dyDescent="0.2">
      <c r="A798" s="39" t="s">
        <v>3242</v>
      </c>
      <c r="B798" s="133" t="s">
        <v>136</v>
      </c>
      <c r="C798" s="40" t="s">
        <v>3329</v>
      </c>
      <c r="D798" s="53">
        <v>631.66999999999996</v>
      </c>
      <c r="E798" s="53">
        <v>0</v>
      </c>
      <c r="F798" s="53">
        <v>0</v>
      </c>
      <c r="G798" s="578">
        <f t="shared" si="113"/>
        <v>631.66999999999996</v>
      </c>
      <c r="H798" s="41"/>
      <c r="I798" s="41"/>
      <c r="J798" s="41"/>
      <c r="K798" s="41">
        <f t="shared" si="115"/>
        <v>631.66999999999996</v>
      </c>
      <c r="L798" s="41">
        <f t="shared" si="116"/>
        <v>0</v>
      </c>
      <c r="M798" s="41">
        <f t="shared" si="117"/>
        <v>0</v>
      </c>
      <c r="N798" s="363">
        <f t="shared" si="114"/>
        <v>0</v>
      </c>
      <c r="O798" s="43" t="s">
        <v>3309</v>
      </c>
      <c r="P798" s="43"/>
      <c r="R798" s="41">
        <f t="shared" si="110"/>
        <v>0</v>
      </c>
      <c r="S798" s="41">
        <f t="shared" si="111"/>
        <v>0</v>
      </c>
      <c r="T798" s="41">
        <f t="shared" si="112"/>
        <v>0</v>
      </c>
      <c r="U798" s="41"/>
      <c r="V798" s="44" t="str">
        <f>IF($P798="High",$S798,IF($P798="Mix",SUMIF('High_Low Voltage Mix Summary'!$B$10:$B$17,$B541,'High_Low Voltage Mix Summary'!$D$10:$D$17),""))</f>
        <v/>
      </c>
      <c r="W798" s="44" t="str">
        <f>IF($P798="Low",$S798,IF($P798="Mix",SUMIF('High_Low Voltage Mix Summary'!$B$10:$B$17,$B541,'High_Low Voltage Mix Summary'!$E$10:$E$17),""))</f>
        <v/>
      </c>
      <c r="X798" s="44" t="str">
        <f>IF($P798="High",$T798,IF($P798="Mix",SUMIF('High_Low Voltage Mix Summary'!$B$10:$B$17,$B541,'High_Low Voltage Mix Summary'!$F$10:$F$17),""))</f>
        <v/>
      </c>
      <c r="Y798" s="44" t="str">
        <f>IF($P798="Low",$T798,IF($P798="Mix",SUMIF('High_Low Voltage Mix Summary'!$B$10:$B$17,$B541,'High_Low Voltage Mix Summary'!$G$10:$G$17),""))</f>
        <v/>
      </c>
      <c r="Z798" s="44" t="str">
        <f>IF(OR($P798="High",$P798="Low"),"",IF($P798="Mix",SUMIF('High_Low Voltage Mix Summary'!$B$10:$B$17,$B541,'High_Low Voltage Mix Summary'!$H$10:$H$17),""))</f>
        <v/>
      </c>
      <c r="AB798" s="49">
        <f>SUMIF('Antelope Bailey Split BA'!$B$7:$B$29,B798,'Antelope Bailey Split BA'!$C$7:$C$29)</f>
        <v>0</v>
      </c>
      <c r="AC798" s="49" t="str">
        <f>IF(AND(AB798=1,'Plant Total by Account'!$H$1=2),"EKWRA","")</f>
        <v/>
      </c>
    </row>
    <row r="799" spans="1:29" x14ac:dyDescent="0.2">
      <c r="A799" s="39" t="s">
        <v>2569</v>
      </c>
      <c r="B799" s="43" t="s">
        <v>927</v>
      </c>
      <c r="C799" s="40" t="s">
        <v>3329</v>
      </c>
      <c r="D799" s="53">
        <v>2300.5500000000002</v>
      </c>
      <c r="E799" s="53">
        <v>78245.97</v>
      </c>
      <c r="F799" s="53">
        <v>541247.65000000026</v>
      </c>
      <c r="G799" s="578">
        <f t="shared" si="113"/>
        <v>621794.17000000027</v>
      </c>
      <c r="H799" s="41"/>
      <c r="I799" s="41"/>
      <c r="J799" s="41"/>
      <c r="K799" s="41">
        <f t="shared" si="115"/>
        <v>2300.5500000000002</v>
      </c>
      <c r="L799" s="41">
        <f t="shared" si="116"/>
        <v>78245.97</v>
      </c>
      <c r="M799" s="41">
        <f t="shared" si="117"/>
        <v>541247.65000000026</v>
      </c>
      <c r="N799" s="363">
        <f t="shared" si="114"/>
        <v>0</v>
      </c>
      <c r="O799" s="43" t="s">
        <v>3309</v>
      </c>
      <c r="P799" s="43"/>
      <c r="R799" s="41">
        <f t="shared" si="110"/>
        <v>0</v>
      </c>
      <c r="S799" s="41">
        <f t="shared" si="111"/>
        <v>0</v>
      </c>
      <c r="T799" s="41">
        <f t="shared" si="112"/>
        <v>0</v>
      </c>
      <c r="U799" s="41"/>
      <c r="V799" s="44" t="str">
        <f>IF($P799="High",$S799,IF($P799="Mix",SUMIF('High_Low Voltage Mix Summary'!$B$10:$B$17,$B787,'High_Low Voltage Mix Summary'!$D$10:$D$17),""))</f>
        <v/>
      </c>
      <c r="W799" s="44" t="str">
        <f>IF($P799="Low",$S799,IF($P799="Mix",SUMIF('High_Low Voltage Mix Summary'!$B$10:$B$17,$B787,'High_Low Voltage Mix Summary'!$E$10:$E$17),""))</f>
        <v/>
      </c>
      <c r="X799" s="44" t="str">
        <f>IF($P799="High",$T799,IF($P799="Mix",SUMIF('High_Low Voltage Mix Summary'!$B$10:$B$17,$B787,'High_Low Voltage Mix Summary'!$F$10:$F$17),""))</f>
        <v/>
      </c>
      <c r="Y799" s="44" t="str">
        <f>IF($P799="Low",$T799,IF($P799="Mix",SUMIF('High_Low Voltage Mix Summary'!$B$10:$B$17,$B787,'High_Low Voltage Mix Summary'!$G$10:$G$17),""))</f>
        <v/>
      </c>
      <c r="Z799" s="44" t="str">
        <f>IF(OR($P799="High",$P799="Low"),"",IF($P799="Mix",SUMIF('High_Low Voltage Mix Summary'!$B$10:$B$17,$B787,'High_Low Voltage Mix Summary'!$H$10:$H$17),""))</f>
        <v/>
      </c>
      <c r="AB799" s="49">
        <f>SUMIF('Antelope Bailey Split BA'!$B$7:$B$29,B799,'Antelope Bailey Split BA'!$C$7:$C$29)</f>
        <v>0</v>
      </c>
      <c r="AC799" s="49" t="str">
        <f>IF(AND(AB799=1,'Plant Total by Account'!$H$1=2),"EKWRA","")</f>
        <v/>
      </c>
    </row>
    <row r="800" spans="1:29" x14ac:dyDescent="0.2">
      <c r="A800" s="39" t="s">
        <v>3243</v>
      </c>
      <c r="B800" s="45" t="s">
        <v>928</v>
      </c>
      <c r="C800" s="40" t="s">
        <v>3334</v>
      </c>
      <c r="D800" s="53">
        <v>18384.34</v>
      </c>
      <c r="E800" s="53">
        <v>0</v>
      </c>
      <c r="F800" s="53">
        <v>124385.51000000001</v>
      </c>
      <c r="G800" s="578">
        <f t="shared" si="113"/>
        <v>142769.85</v>
      </c>
      <c r="H800" s="41"/>
      <c r="I800" s="41"/>
      <c r="J800" s="41"/>
      <c r="K800" s="41">
        <f t="shared" si="115"/>
        <v>18384.34</v>
      </c>
      <c r="L800" s="41">
        <f t="shared" si="116"/>
        <v>0</v>
      </c>
      <c r="M800" s="41">
        <f t="shared" si="117"/>
        <v>124385.51000000001</v>
      </c>
      <c r="N800" s="363">
        <f t="shared" si="114"/>
        <v>0</v>
      </c>
      <c r="O800" s="43" t="s">
        <v>3309</v>
      </c>
      <c r="P800" s="43"/>
      <c r="R800" s="41">
        <f t="shared" si="110"/>
        <v>0</v>
      </c>
      <c r="S800" s="41">
        <f t="shared" si="111"/>
        <v>0</v>
      </c>
      <c r="T800" s="41">
        <f t="shared" si="112"/>
        <v>0</v>
      </c>
      <c r="U800" s="41"/>
      <c r="V800" s="44" t="str">
        <f>IF($P800="High",$S800,IF($P800="Mix",SUMIF('High_Low Voltage Mix Summary'!$B$10:$B$17,$B788,'High_Low Voltage Mix Summary'!$D$10:$D$17),""))</f>
        <v/>
      </c>
      <c r="W800" s="44" t="str">
        <f>IF($P800="Low",$S800,IF($P800="Mix",SUMIF('High_Low Voltage Mix Summary'!$B$10:$B$17,$B788,'High_Low Voltage Mix Summary'!$E$10:$E$17),""))</f>
        <v/>
      </c>
      <c r="X800" s="44" t="str">
        <f>IF($P800="High",$T800,IF($P800="Mix",SUMIF('High_Low Voltage Mix Summary'!$B$10:$B$17,$B788,'High_Low Voltage Mix Summary'!$F$10:$F$17),""))</f>
        <v/>
      </c>
      <c r="Y800" s="44" t="str">
        <f>IF($P800="Low",$T800,IF($P800="Mix",SUMIF('High_Low Voltage Mix Summary'!$B$10:$B$17,$B788,'High_Low Voltage Mix Summary'!$G$10:$G$17),""))</f>
        <v/>
      </c>
      <c r="Z800" s="44" t="str">
        <f>IF(OR($P800="High",$P800="Low"),"",IF($P800="Mix",SUMIF('High_Low Voltage Mix Summary'!$B$10:$B$17,$B788,'High_Low Voltage Mix Summary'!$H$10:$H$17),""))</f>
        <v/>
      </c>
      <c r="AB800" s="49">
        <f>SUMIF('Antelope Bailey Split BA'!$B$7:$B$29,B800,'Antelope Bailey Split BA'!$C$7:$C$29)</f>
        <v>0</v>
      </c>
      <c r="AC800" s="49" t="str">
        <f>IF(AND(AB800=1,'Plant Total by Account'!$H$1=2),"EKWRA","")</f>
        <v/>
      </c>
    </row>
    <row r="801" spans="1:29" x14ac:dyDescent="0.2">
      <c r="A801" s="39" t="s">
        <v>2571</v>
      </c>
      <c r="B801" s="45" t="s">
        <v>929</v>
      </c>
      <c r="C801" s="40" t="s">
        <v>3329</v>
      </c>
      <c r="D801" s="53">
        <v>0</v>
      </c>
      <c r="E801" s="53">
        <v>0</v>
      </c>
      <c r="F801" s="53">
        <v>3088.34</v>
      </c>
      <c r="G801" s="578">
        <f t="shared" si="113"/>
        <v>3088.34</v>
      </c>
      <c r="H801" s="41"/>
      <c r="I801" s="41"/>
      <c r="J801" s="41"/>
      <c r="K801" s="41">
        <f t="shared" si="115"/>
        <v>0</v>
      </c>
      <c r="L801" s="41">
        <f t="shared" si="116"/>
        <v>0</v>
      </c>
      <c r="M801" s="41">
        <f t="shared" si="117"/>
        <v>3088.34</v>
      </c>
      <c r="N801" s="363">
        <f t="shared" si="114"/>
        <v>0</v>
      </c>
      <c r="O801" s="43" t="s">
        <v>3309</v>
      </c>
      <c r="P801" s="43"/>
      <c r="R801" s="41">
        <f t="shared" si="110"/>
        <v>0</v>
      </c>
      <c r="S801" s="41">
        <f t="shared" si="111"/>
        <v>0</v>
      </c>
      <c r="T801" s="41">
        <f t="shared" si="112"/>
        <v>0</v>
      </c>
      <c r="U801" s="41"/>
      <c r="V801" s="44" t="str">
        <f>IF($P801="High",$S801,IF($P801="Mix",SUMIF('High_Low Voltage Mix Summary'!$B$10:$B$17,$B789,'High_Low Voltage Mix Summary'!$D$10:$D$17),""))</f>
        <v/>
      </c>
      <c r="W801" s="44" t="str">
        <f>IF($P801="Low",$S801,IF($P801="Mix",SUMIF('High_Low Voltage Mix Summary'!$B$10:$B$17,$B789,'High_Low Voltage Mix Summary'!$E$10:$E$17),""))</f>
        <v/>
      </c>
      <c r="X801" s="44" t="str">
        <f>IF($P801="High",$T801,IF($P801="Mix",SUMIF('High_Low Voltage Mix Summary'!$B$10:$B$17,$B789,'High_Low Voltage Mix Summary'!$F$10:$F$17),""))</f>
        <v/>
      </c>
      <c r="Y801" s="44" t="str">
        <f>IF($P801="Low",$T801,IF($P801="Mix",SUMIF('High_Low Voltage Mix Summary'!$B$10:$B$17,$B789,'High_Low Voltage Mix Summary'!$G$10:$G$17),""))</f>
        <v/>
      </c>
      <c r="Z801" s="44" t="str">
        <f>IF(OR($P801="High",$P801="Low"),"",IF($P801="Mix",SUMIF('High_Low Voltage Mix Summary'!$B$10:$B$17,$B789,'High_Low Voltage Mix Summary'!$H$10:$H$17),""))</f>
        <v/>
      </c>
      <c r="AB801" s="49">
        <f>SUMIF('Antelope Bailey Split BA'!$B$7:$B$29,B801,'Antelope Bailey Split BA'!$C$7:$C$29)</f>
        <v>0</v>
      </c>
      <c r="AC801" s="49" t="str">
        <f>IF(AND(AB801=1,'Plant Total by Account'!$H$1=2),"EKWRA","")</f>
        <v/>
      </c>
    </row>
    <row r="802" spans="1:29" x14ac:dyDescent="0.2">
      <c r="A802" s="39" t="s">
        <v>2575</v>
      </c>
      <c r="B802" s="45" t="s">
        <v>1235</v>
      </c>
      <c r="C802" s="40" t="s">
        <v>3329</v>
      </c>
      <c r="D802" s="53">
        <v>0</v>
      </c>
      <c r="E802" s="53">
        <v>0</v>
      </c>
      <c r="F802" s="53">
        <v>212955.95</v>
      </c>
      <c r="G802" s="578">
        <f t="shared" si="113"/>
        <v>212955.95</v>
      </c>
      <c r="H802" s="41"/>
      <c r="I802" s="41"/>
      <c r="J802" s="41"/>
      <c r="K802" s="41">
        <f t="shared" si="115"/>
        <v>0</v>
      </c>
      <c r="L802" s="41">
        <f t="shared" si="116"/>
        <v>0</v>
      </c>
      <c r="M802" s="41">
        <f t="shared" si="117"/>
        <v>212955.95</v>
      </c>
      <c r="N802" s="363">
        <f t="shared" si="114"/>
        <v>0</v>
      </c>
      <c r="O802" s="43" t="s">
        <v>3309</v>
      </c>
      <c r="P802" s="43"/>
      <c r="R802" s="41">
        <f t="shared" si="110"/>
        <v>0</v>
      </c>
      <c r="S802" s="41">
        <f t="shared" si="111"/>
        <v>0</v>
      </c>
      <c r="T802" s="41">
        <f t="shared" si="112"/>
        <v>0</v>
      </c>
      <c r="U802" s="41"/>
      <c r="V802" s="44" t="str">
        <f>IF($P802="High",$S802,IF($P802="Mix",SUMIF('High_Low Voltage Mix Summary'!$B$10:$B$17,$B790,'High_Low Voltage Mix Summary'!$D$10:$D$17),""))</f>
        <v/>
      </c>
      <c r="W802" s="44" t="str">
        <f>IF($P802="Low",$S802,IF($P802="Mix",SUMIF('High_Low Voltage Mix Summary'!$B$10:$B$17,$B790,'High_Low Voltage Mix Summary'!$E$10:$E$17),""))</f>
        <v/>
      </c>
      <c r="X802" s="44" t="str">
        <f>IF($P802="High",$T802,IF($P802="Mix",SUMIF('High_Low Voltage Mix Summary'!$B$10:$B$17,$B790,'High_Low Voltage Mix Summary'!$F$10:$F$17),""))</f>
        <v/>
      </c>
      <c r="Y802" s="44" t="str">
        <f>IF($P802="Low",$T802,IF($P802="Mix",SUMIF('High_Low Voltage Mix Summary'!$B$10:$B$17,$B790,'High_Low Voltage Mix Summary'!$G$10:$G$17),""))</f>
        <v/>
      </c>
      <c r="Z802" s="44" t="str">
        <f>IF(OR($P802="High",$P802="Low"),"",IF($P802="Mix",SUMIF('High_Low Voltage Mix Summary'!$B$10:$B$17,$B790,'High_Low Voltage Mix Summary'!$H$10:$H$17),""))</f>
        <v/>
      </c>
      <c r="AB802" s="49">
        <f>SUMIF('Antelope Bailey Split BA'!$B$7:$B$29,B802,'Antelope Bailey Split BA'!$C$7:$C$29)</f>
        <v>0</v>
      </c>
      <c r="AC802" s="49" t="str">
        <f>IF(AND(AB802=1,'Plant Total by Account'!$H$1=2),"EKWRA","")</f>
        <v/>
      </c>
    </row>
    <row r="803" spans="1:29" x14ac:dyDescent="0.2">
      <c r="A803" s="39" t="s">
        <v>2576</v>
      </c>
      <c r="B803" s="45" t="s">
        <v>1236</v>
      </c>
      <c r="C803" s="40" t="s">
        <v>3329</v>
      </c>
      <c r="D803" s="53">
        <v>0</v>
      </c>
      <c r="E803" s="53">
        <v>0</v>
      </c>
      <c r="F803" s="53">
        <v>8980.19</v>
      </c>
      <c r="G803" s="578">
        <f t="shared" si="113"/>
        <v>8980.19</v>
      </c>
      <c r="H803" s="41"/>
      <c r="I803" s="41"/>
      <c r="J803" s="41"/>
      <c r="K803" s="41">
        <f t="shared" si="115"/>
        <v>0</v>
      </c>
      <c r="L803" s="41">
        <f t="shared" si="116"/>
        <v>0</v>
      </c>
      <c r="M803" s="41">
        <f t="shared" si="117"/>
        <v>8980.19</v>
      </c>
      <c r="N803" s="363">
        <f t="shared" si="114"/>
        <v>0</v>
      </c>
      <c r="O803" s="43" t="s">
        <v>3309</v>
      </c>
      <c r="P803" s="43"/>
      <c r="R803" s="41">
        <f t="shared" si="110"/>
        <v>0</v>
      </c>
      <c r="S803" s="41">
        <f t="shared" si="111"/>
        <v>0</v>
      </c>
      <c r="T803" s="41">
        <f t="shared" si="112"/>
        <v>0</v>
      </c>
      <c r="U803" s="41"/>
      <c r="V803" s="44" t="str">
        <f>IF($P803="High",$S803,IF($P803="Mix",SUMIF('High_Low Voltage Mix Summary'!$B$10:$B$17,$B791,'High_Low Voltage Mix Summary'!$D$10:$D$17),""))</f>
        <v/>
      </c>
      <c r="W803" s="44" t="str">
        <f>IF($P803="Low",$S803,IF($P803="Mix",SUMIF('High_Low Voltage Mix Summary'!$B$10:$B$17,$B791,'High_Low Voltage Mix Summary'!$E$10:$E$17),""))</f>
        <v/>
      </c>
      <c r="X803" s="44" t="str">
        <f>IF($P803="High",$T803,IF($P803="Mix",SUMIF('High_Low Voltage Mix Summary'!$B$10:$B$17,$B791,'High_Low Voltage Mix Summary'!$F$10:$F$17),""))</f>
        <v/>
      </c>
      <c r="Y803" s="44" t="str">
        <f>IF($P803="Low",$T803,IF($P803="Mix",SUMIF('High_Low Voltage Mix Summary'!$B$10:$B$17,$B791,'High_Low Voltage Mix Summary'!$G$10:$G$17),""))</f>
        <v/>
      </c>
      <c r="Z803" s="44" t="str">
        <f>IF(OR($P803="High",$P803="Low"),"",IF($P803="Mix",SUMIF('High_Low Voltage Mix Summary'!$B$10:$B$17,$B791,'High_Low Voltage Mix Summary'!$H$10:$H$17),""))</f>
        <v/>
      </c>
      <c r="AB803" s="49">
        <f>SUMIF('Antelope Bailey Split BA'!$B$7:$B$29,B803,'Antelope Bailey Split BA'!$C$7:$C$29)</f>
        <v>0</v>
      </c>
      <c r="AC803" s="49" t="str">
        <f>IF(AND(AB803=1,'Plant Total by Account'!$H$1=2),"EKWRA","")</f>
        <v/>
      </c>
    </row>
    <row r="804" spans="1:29" x14ac:dyDescent="0.2">
      <c r="A804" s="39" t="s">
        <v>2590</v>
      </c>
      <c r="B804" s="133" t="s">
        <v>931</v>
      </c>
      <c r="C804" s="40" t="s">
        <v>3329</v>
      </c>
      <c r="D804" s="53">
        <v>0</v>
      </c>
      <c r="E804" s="53">
        <v>0</v>
      </c>
      <c r="F804" s="53">
        <v>2340.3000000000002</v>
      </c>
      <c r="G804" s="578">
        <f t="shared" si="113"/>
        <v>2340.3000000000002</v>
      </c>
      <c r="H804" s="41"/>
      <c r="I804" s="41"/>
      <c r="J804" s="41"/>
      <c r="K804" s="41">
        <f t="shared" si="115"/>
        <v>0</v>
      </c>
      <c r="L804" s="41">
        <f t="shared" si="116"/>
        <v>0</v>
      </c>
      <c r="M804" s="41">
        <f t="shared" si="117"/>
        <v>2340.3000000000002</v>
      </c>
      <c r="N804" s="363">
        <f t="shared" si="114"/>
        <v>0</v>
      </c>
      <c r="O804" s="43" t="s">
        <v>3309</v>
      </c>
      <c r="P804" s="43"/>
      <c r="R804" s="41">
        <f t="shared" si="110"/>
        <v>0</v>
      </c>
      <c r="S804" s="41">
        <f t="shared" si="111"/>
        <v>0</v>
      </c>
      <c r="T804" s="41">
        <f t="shared" si="112"/>
        <v>0</v>
      </c>
      <c r="U804" s="41"/>
      <c r="V804" s="44" t="str">
        <f>IF($P804="High",$S804,IF($P804="Mix",SUMIF('High_Low Voltage Mix Summary'!$B$10:$B$17,$B792,'High_Low Voltage Mix Summary'!$D$10:$D$17),""))</f>
        <v/>
      </c>
      <c r="W804" s="44" t="str">
        <f>IF($P804="Low",$S804,IF($P804="Mix",SUMIF('High_Low Voltage Mix Summary'!$B$10:$B$17,$B792,'High_Low Voltage Mix Summary'!$E$10:$E$17),""))</f>
        <v/>
      </c>
      <c r="X804" s="44" t="str">
        <f>IF($P804="High",$T804,IF($P804="Mix",SUMIF('High_Low Voltage Mix Summary'!$B$10:$B$17,$B792,'High_Low Voltage Mix Summary'!$F$10:$F$17),""))</f>
        <v/>
      </c>
      <c r="Y804" s="44" t="str">
        <f>IF($P804="Low",$T804,IF($P804="Mix",SUMIF('High_Low Voltage Mix Summary'!$B$10:$B$17,$B792,'High_Low Voltage Mix Summary'!$G$10:$G$17),""))</f>
        <v/>
      </c>
      <c r="Z804" s="44" t="str">
        <f>IF(OR($P804="High",$P804="Low"),"",IF($P804="Mix",SUMIF('High_Low Voltage Mix Summary'!$B$10:$B$17,$B792,'High_Low Voltage Mix Summary'!$H$10:$H$17),""))</f>
        <v/>
      </c>
      <c r="AB804" s="49">
        <f>SUMIF('Antelope Bailey Split BA'!$B$7:$B$29,B804,'Antelope Bailey Split BA'!$C$7:$C$29)</f>
        <v>0</v>
      </c>
      <c r="AC804" s="49" t="str">
        <f>IF(AND(AB804=1,'Plant Total by Account'!$H$1=2),"EKWRA","")</f>
        <v/>
      </c>
    </row>
    <row r="805" spans="1:29" x14ac:dyDescent="0.2">
      <c r="A805" s="39" t="s">
        <v>2591</v>
      </c>
      <c r="B805" s="132" t="s">
        <v>932</v>
      </c>
      <c r="C805" s="40" t="s">
        <v>3329</v>
      </c>
      <c r="D805" s="53">
        <v>0</v>
      </c>
      <c r="E805" s="53">
        <v>0</v>
      </c>
      <c r="F805" s="53">
        <v>73.350000000000009</v>
      </c>
      <c r="G805" s="578">
        <f t="shared" si="113"/>
        <v>73.350000000000009</v>
      </c>
      <c r="H805" s="41"/>
      <c r="I805" s="41"/>
      <c r="J805" s="41"/>
      <c r="K805" s="41">
        <f t="shared" si="115"/>
        <v>0</v>
      </c>
      <c r="L805" s="41">
        <f t="shared" si="116"/>
        <v>0</v>
      </c>
      <c r="M805" s="41">
        <f t="shared" si="117"/>
        <v>73.350000000000009</v>
      </c>
      <c r="N805" s="363">
        <f t="shared" si="114"/>
        <v>0</v>
      </c>
      <c r="O805" s="43" t="s">
        <v>3309</v>
      </c>
      <c r="P805" s="43"/>
      <c r="R805" s="41">
        <f t="shared" si="110"/>
        <v>0</v>
      </c>
      <c r="S805" s="41">
        <f t="shared" si="111"/>
        <v>0</v>
      </c>
      <c r="T805" s="41">
        <f t="shared" si="112"/>
        <v>0</v>
      </c>
      <c r="U805" s="41"/>
      <c r="V805" s="44" t="str">
        <f>IF($P805="High",$S805,IF($P805="Mix",SUMIF('High_Low Voltage Mix Summary'!$B$10:$B$17,$B797,'High_Low Voltage Mix Summary'!$D$10:$D$17),""))</f>
        <v/>
      </c>
      <c r="W805" s="44" t="str">
        <f>IF($P805="Low",$S805,IF($P805="Mix",SUMIF('High_Low Voltage Mix Summary'!$B$10:$B$17,$B797,'High_Low Voltage Mix Summary'!$E$10:$E$17),""))</f>
        <v/>
      </c>
      <c r="X805" s="44" t="str">
        <f>IF($P805="High",$T805,IF($P805="Mix",SUMIF('High_Low Voltage Mix Summary'!$B$10:$B$17,$B797,'High_Low Voltage Mix Summary'!$F$10:$F$17),""))</f>
        <v/>
      </c>
      <c r="Y805" s="44" t="str">
        <f>IF($P805="Low",$T805,IF($P805="Mix",SUMIF('High_Low Voltage Mix Summary'!$B$10:$B$17,$B797,'High_Low Voltage Mix Summary'!$G$10:$G$17),""))</f>
        <v/>
      </c>
      <c r="Z805" s="44" t="str">
        <f>IF(OR($P805="High",$P805="Low"),"",IF($P805="Mix",SUMIF('High_Low Voltage Mix Summary'!$B$10:$B$17,$B797,'High_Low Voltage Mix Summary'!$H$10:$H$17),""))</f>
        <v/>
      </c>
      <c r="AB805" s="49">
        <f>SUMIF('Antelope Bailey Split BA'!$B$7:$B$29,B805,'Antelope Bailey Split BA'!$C$7:$C$29)</f>
        <v>0</v>
      </c>
      <c r="AC805" s="49" t="str">
        <f>IF(AND(AB805=1,'Plant Total by Account'!$H$1=2),"EKWRA","")</f>
        <v/>
      </c>
    </row>
    <row r="806" spans="1:29" x14ac:dyDescent="0.2">
      <c r="A806" s="39" t="s">
        <v>2592</v>
      </c>
      <c r="B806" s="132" t="s">
        <v>933</v>
      </c>
      <c r="C806" s="40" t="s">
        <v>3329</v>
      </c>
      <c r="D806" s="53">
        <v>0</v>
      </c>
      <c r="E806" s="53">
        <v>0</v>
      </c>
      <c r="F806" s="53">
        <v>8852.61</v>
      </c>
      <c r="G806" s="578">
        <f t="shared" si="113"/>
        <v>8852.61</v>
      </c>
      <c r="H806" s="41"/>
      <c r="I806" s="41"/>
      <c r="J806" s="41"/>
      <c r="K806" s="41">
        <f t="shared" si="115"/>
        <v>0</v>
      </c>
      <c r="L806" s="41">
        <f t="shared" si="116"/>
        <v>0</v>
      </c>
      <c r="M806" s="41">
        <f t="shared" si="117"/>
        <v>8852.61</v>
      </c>
      <c r="N806" s="363">
        <f t="shared" si="114"/>
        <v>0</v>
      </c>
      <c r="O806" s="43" t="s">
        <v>3309</v>
      </c>
      <c r="P806" s="43"/>
      <c r="R806" s="41">
        <f t="shared" si="110"/>
        <v>0</v>
      </c>
      <c r="S806" s="41">
        <f t="shared" si="111"/>
        <v>0</v>
      </c>
      <c r="T806" s="41">
        <f t="shared" si="112"/>
        <v>0</v>
      </c>
      <c r="U806" s="41"/>
      <c r="V806" s="44" t="str">
        <f>IF($P806="High",$S806,IF($P806="Mix",SUMIF('High_Low Voltage Mix Summary'!$B$10:$B$17,$B794,'High_Low Voltage Mix Summary'!$D$10:$D$17),""))</f>
        <v/>
      </c>
      <c r="W806" s="44" t="str">
        <f>IF($P806="Low",$S806,IF($P806="Mix",SUMIF('High_Low Voltage Mix Summary'!$B$10:$B$17,$B794,'High_Low Voltage Mix Summary'!$E$10:$E$17),""))</f>
        <v/>
      </c>
      <c r="X806" s="44" t="str">
        <f>IF($P806="High",$T806,IF($P806="Mix",SUMIF('High_Low Voltage Mix Summary'!$B$10:$B$17,$B794,'High_Low Voltage Mix Summary'!$F$10:$F$17),""))</f>
        <v/>
      </c>
      <c r="Y806" s="44" t="str">
        <f>IF($P806="Low",$T806,IF($P806="Mix",SUMIF('High_Low Voltage Mix Summary'!$B$10:$B$17,$B794,'High_Low Voltage Mix Summary'!$G$10:$G$17),""))</f>
        <v/>
      </c>
      <c r="Z806" s="44" t="str">
        <f>IF(OR($P806="High",$P806="Low"),"",IF($P806="Mix",SUMIF('High_Low Voltage Mix Summary'!$B$10:$B$17,$B794,'High_Low Voltage Mix Summary'!$H$10:$H$17),""))</f>
        <v/>
      </c>
      <c r="AB806" s="49">
        <f>SUMIF('Antelope Bailey Split BA'!$B$7:$B$29,B806,'Antelope Bailey Split BA'!$C$7:$C$29)</f>
        <v>0</v>
      </c>
      <c r="AC806" s="49" t="str">
        <f>IF(AND(AB806=1,'Plant Total by Account'!$H$1=2),"EKWRA","")</f>
        <v/>
      </c>
    </row>
    <row r="807" spans="1:29" x14ac:dyDescent="0.2">
      <c r="A807" s="39" t="s">
        <v>2593</v>
      </c>
      <c r="B807" s="132" t="s">
        <v>934</v>
      </c>
      <c r="C807" s="40" t="s">
        <v>3329</v>
      </c>
      <c r="D807" s="53">
        <v>0</v>
      </c>
      <c r="E807" s="53">
        <v>0</v>
      </c>
      <c r="F807" s="53">
        <v>805330.87</v>
      </c>
      <c r="G807" s="578">
        <f t="shared" si="113"/>
        <v>805330.87</v>
      </c>
      <c r="H807" s="41"/>
      <c r="I807" s="41"/>
      <c r="J807" s="41"/>
      <c r="K807" s="41">
        <f t="shared" si="115"/>
        <v>0</v>
      </c>
      <c r="L807" s="41">
        <f t="shared" si="116"/>
        <v>0</v>
      </c>
      <c r="M807" s="41">
        <f t="shared" si="117"/>
        <v>805330.87</v>
      </c>
      <c r="N807" s="363">
        <f t="shared" si="114"/>
        <v>0</v>
      </c>
      <c r="O807" s="43" t="s">
        <v>3309</v>
      </c>
      <c r="P807" s="43"/>
      <c r="R807" s="41">
        <f t="shared" si="110"/>
        <v>0</v>
      </c>
      <c r="S807" s="41">
        <f t="shared" si="111"/>
        <v>0</v>
      </c>
      <c r="T807" s="41">
        <f t="shared" si="112"/>
        <v>0</v>
      </c>
      <c r="U807" s="41"/>
      <c r="V807" s="44" t="str">
        <f>IF($P807="High",$S807,IF($P807="Mix",SUMIF('High_Low Voltage Mix Summary'!$B$10:$B$17,$B793,'High_Low Voltage Mix Summary'!$D$10:$D$17),""))</f>
        <v/>
      </c>
      <c r="W807" s="44" t="str">
        <f>IF($P807="Low",$S807,IF($P807="Mix",SUMIF('High_Low Voltage Mix Summary'!$B$10:$B$17,$B793,'High_Low Voltage Mix Summary'!$E$10:$E$17),""))</f>
        <v/>
      </c>
      <c r="X807" s="44" t="str">
        <f>IF($P807="High",$T807,IF($P807="Mix",SUMIF('High_Low Voltage Mix Summary'!$B$10:$B$17,$B793,'High_Low Voltage Mix Summary'!$F$10:$F$17),""))</f>
        <v/>
      </c>
      <c r="Y807" s="44" t="str">
        <f>IF($P807="Low",$T807,IF($P807="Mix",SUMIF('High_Low Voltage Mix Summary'!$B$10:$B$17,$B793,'High_Low Voltage Mix Summary'!$G$10:$G$17),""))</f>
        <v/>
      </c>
      <c r="Z807" s="44" t="str">
        <f>IF(OR($P807="High",$P807="Low"),"",IF($P807="Mix",SUMIF('High_Low Voltage Mix Summary'!$B$10:$B$17,$B793,'High_Low Voltage Mix Summary'!$H$10:$H$17),""))</f>
        <v/>
      </c>
      <c r="AB807" s="49">
        <f>SUMIF('Antelope Bailey Split BA'!$B$7:$B$29,B807,'Antelope Bailey Split BA'!$C$7:$C$29)</f>
        <v>0</v>
      </c>
      <c r="AC807" s="49" t="str">
        <f>IF(AND(AB807=1,'Plant Total by Account'!$H$1=2),"EKWRA","")</f>
        <v/>
      </c>
    </row>
    <row r="808" spans="1:29" x14ac:dyDescent="0.2">
      <c r="A808" s="39" t="s">
        <v>2594</v>
      </c>
      <c r="B808" s="133" t="s">
        <v>1248</v>
      </c>
      <c r="C808" s="40" t="s">
        <v>3329</v>
      </c>
      <c r="D808" s="53">
        <v>0</v>
      </c>
      <c r="E808" s="53">
        <v>0</v>
      </c>
      <c r="F808" s="53">
        <v>403043.26</v>
      </c>
      <c r="G808" s="578">
        <f t="shared" si="113"/>
        <v>403043.26</v>
      </c>
      <c r="H808" s="41"/>
      <c r="I808" s="41"/>
      <c r="J808" s="41"/>
      <c r="K808" s="41">
        <f t="shared" si="115"/>
        <v>0</v>
      </c>
      <c r="L808" s="41">
        <f t="shared" si="116"/>
        <v>0</v>
      </c>
      <c r="M808" s="41">
        <f t="shared" si="117"/>
        <v>403043.26</v>
      </c>
      <c r="N808" s="363">
        <f t="shared" si="114"/>
        <v>0</v>
      </c>
      <c r="O808" s="43" t="s">
        <v>3309</v>
      </c>
      <c r="P808" s="43"/>
      <c r="R808" s="41">
        <f t="shared" ref="R808:R838" si="118">SUM(H808:J808)</f>
        <v>0</v>
      </c>
      <c r="S808" s="41">
        <f t="shared" ref="S808:S838" si="119">H808</f>
        <v>0</v>
      </c>
      <c r="T808" s="41">
        <f t="shared" ref="T808:T838" si="120">SUM(I808:J808)</f>
        <v>0</v>
      </c>
      <c r="U808" s="41"/>
      <c r="V808" s="44" t="str">
        <f>IF($P808="High",$S808,IF($P808="Mix",SUMIF('High_Low Voltage Mix Summary'!$B$10:$B$17,$B795,'High_Low Voltage Mix Summary'!$D$10:$D$17),""))</f>
        <v/>
      </c>
      <c r="W808" s="44" t="str">
        <f>IF($P808="Low",$S808,IF($P808="Mix",SUMIF('High_Low Voltage Mix Summary'!$B$10:$B$17,$B795,'High_Low Voltage Mix Summary'!$E$10:$E$17),""))</f>
        <v/>
      </c>
      <c r="X808" s="44" t="str">
        <f>IF($P808="High",$T808,IF($P808="Mix",SUMIF('High_Low Voltage Mix Summary'!$B$10:$B$17,$B795,'High_Low Voltage Mix Summary'!$F$10:$F$17),""))</f>
        <v/>
      </c>
      <c r="Y808" s="44" t="str">
        <f>IF($P808="Low",$T808,IF($P808="Mix",SUMIF('High_Low Voltage Mix Summary'!$B$10:$B$17,$B795,'High_Low Voltage Mix Summary'!$G$10:$G$17),""))</f>
        <v/>
      </c>
      <c r="Z808" s="44" t="str">
        <f>IF(OR($P808="High",$P808="Low"),"",IF($P808="Mix",SUMIF('High_Low Voltage Mix Summary'!$B$10:$B$17,$B795,'High_Low Voltage Mix Summary'!$H$10:$H$17),""))</f>
        <v/>
      </c>
      <c r="AB808" s="49">
        <f>SUMIF('Antelope Bailey Split BA'!$B$7:$B$29,B808,'Antelope Bailey Split BA'!$C$7:$C$29)</f>
        <v>0</v>
      </c>
      <c r="AC808" s="49" t="str">
        <f>IF(AND(AB808=1,'Plant Total by Account'!$H$1=2),"EKWRA","")</f>
        <v/>
      </c>
    </row>
    <row r="809" spans="1:29" x14ac:dyDescent="0.2">
      <c r="A809" s="39" t="s">
        <v>2595</v>
      </c>
      <c r="B809" s="132" t="s">
        <v>935</v>
      </c>
      <c r="C809" s="40" t="s">
        <v>3329</v>
      </c>
      <c r="D809" s="53">
        <v>2413.9500000000003</v>
      </c>
      <c r="E809" s="53">
        <v>0</v>
      </c>
      <c r="F809" s="53">
        <v>0</v>
      </c>
      <c r="G809" s="578">
        <f t="shared" si="113"/>
        <v>2413.9500000000003</v>
      </c>
      <c r="H809" s="41"/>
      <c r="I809" s="41"/>
      <c r="J809" s="41"/>
      <c r="K809" s="41">
        <f t="shared" si="115"/>
        <v>2413.9500000000003</v>
      </c>
      <c r="L809" s="41">
        <f t="shared" si="116"/>
        <v>0</v>
      </c>
      <c r="M809" s="41">
        <f t="shared" si="117"/>
        <v>0</v>
      </c>
      <c r="N809" s="363">
        <f t="shared" si="114"/>
        <v>0</v>
      </c>
      <c r="O809" s="43" t="s">
        <v>3309</v>
      </c>
      <c r="P809" s="43"/>
      <c r="R809" s="41">
        <f t="shared" si="118"/>
        <v>0</v>
      </c>
      <c r="S809" s="41">
        <f t="shared" si="119"/>
        <v>0</v>
      </c>
      <c r="T809" s="41">
        <f t="shared" si="120"/>
        <v>0</v>
      </c>
      <c r="U809" s="41"/>
      <c r="V809" s="44" t="str">
        <f>IF($P809="High",$S809,IF($P809="Mix",SUMIF('High_Low Voltage Mix Summary'!$B$10:$B$17,$B561,'High_Low Voltage Mix Summary'!$D$10:$D$17),""))</f>
        <v/>
      </c>
      <c r="W809" s="44" t="str">
        <f>IF($P809="Low",$S809,IF($P809="Mix",SUMIF('High_Low Voltage Mix Summary'!$B$10:$B$17,$B561,'High_Low Voltage Mix Summary'!$E$10:$E$17),""))</f>
        <v/>
      </c>
      <c r="X809" s="44" t="str">
        <f>IF($P809="High",$T809,IF($P809="Mix",SUMIF('High_Low Voltage Mix Summary'!$B$10:$B$17,$B561,'High_Low Voltage Mix Summary'!$F$10:$F$17),""))</f>
        <v/>
      </c>
      <c r="Y809" s="44" t="str">
        <f>IF($P809="Low",$T809,IF($P809="Mix",SUMIF('High_Low Voltage Mix Summary'!$B$10:$B$17,$B561,'High_Low Voltage Mix Summary'!$G$10:$G$17),""))</f>
        <v/>
      </c>
      <c r="Z809" s="44" t="str">
        <f>IF(OR($P809="High",$P809="Low"),"",IF($P809="Mix",SUMIF('High_Low Voltage Mix Summary'!$B$10:$B$17,$B561,'High_Low Voltage Mix Summary'!$H$10:$H$17),""))</f>
        <v/>
      </c>
      <c r="AB809" s="49">
        <f>SUMIF('Antelope Bailey Split BA'!$B$7:$B$29,B809,'Antelope Bailey Split BA'!$C$7:$C$29)</f>
        <v>0</v>
      </c>
      <c r="AC809" s="49" t="str">
        <f>IF(AND(AB809=1,'Plant Total by Account'!$H$1=2),"EKWRA","")</f>
        <v/>
      </c>
    </row>
    <row r="810" spans="1:29" x14ac:dyDescent="0.2">
      <c r="A810" s="39" t="s">
        <v>3244</v>
      </c>
      <c r="B810" s="43" t="s">
        <v>936</v>
      </c>
      <c r="C810" s="40" t="s">
        <v>3334</v>
      </c>
      <c r="D810" s="53">
        <v>0</v>
      </c>
      <c r="E810" s="53">
        <v>2408.94</v>
      </c>
      <c r="F810" s="53">
        <v>66022.219999999987</v>
      </c>
      <c r="G810" s="578">
        <f t="shared" si="113"/>
        <v>68431.159999999989</v>
      </c>
      <c r="H810" s="41"/>
      <c r="I810" s="41"/>
      <c r="J810" s="41"/>
      <c r="K810" s="41">
        <f t="shared" si="115"/>
        <v>0</v>
      </c>
      <c r="L810" s="41">
        <f t="shared" si="116"/>
        <v>2408.94</v>
      </c>
      <c r="M810" s="41">
        <f t="shared" si="117"/>
        <v>66022.219999999987</v>
      </c>
      <c r="N810" s="363">
        <f t="shared" si="114"/>
        <v>0</v>
      </c>
      <c r="O810" s="43" t="s">
        <v>3309</v>
      </c>
      <c r="P810" s="43"/>
      <c r="R810" s="41">
        <f t="shared" si="118"/>
        <v>0</v>
      </c>
      <c r="S810" s="41">
        <f t="shared" si="119"/>
        <v>0</v>
      </c>
      <c r="T810" s="41">
        <f t="shared" si="120"/>
        <v>0</v>
      </c>
      <c r="U810" s="41"/>
      <c r="V810" s="44" t="str">
        <f>IF($P810="High",$S810,IF($P810="Mix",SUMIF('High_Low Voltage Mix Summary'!$B$10:$B$17,$B562,'High_Low Voltage Mix Summary'!$D$10:$D$17),""))</f>
        <v/>
      </c>
      <c r="W810" s="44" t="str">
        <f>IF($P810="Low",$S810,IF($P810="Mix",SUMIF('High_Low Voltage Mix Summary'!$B$10:$B$17,$B562,'High_Low Voltage Mix Summary'!$E$10:$E$17),""))</f>
        <v/>
      </c>
      <c r="X810" s="44" t="str">
        <f>IF($P810="High",$T810,IF($P810="Mix",SUMIF('High_Low Voltage Mix Summary'!$B$10:$B$17,$B562,'High_Low Voltage Mix Summary'!$F$10:$F$17),""))</f>
        <v/>
      </c>
      <c r="Y810" s="44" t="str">
        <f>IF($P810="Low",$T810,IF($P810="Mix",SUMIF('High_Low Voltage Mix Summary'!$B$10:$B$17,$B562,'High_Low Voltage Mix Summary'!$G$10:$G$17),""))</f>
        <v/>
      </c>
      <c r="Z810" s="44" t="str">
        <f>IF(OR($P810="High",$P810="Low"),"",IF($P810="Mix",SUMIF('High_Low Voltage Mix Summary'!$B$10:$B$17,$B562,'High_Low Voltage Mix Summary'!$H$10:$H$17),""))</f>
        <v/>
      </c>
      <c r="AB810" s="49">
        <f>SUMIF('Antelope Bailey Split BA'!$B$7:$B$29,B810,'Antelope Bailey Split BA'!$C$7:$C$29)</f>
        <v>0</v>
      </c>
      <c r="AC810" s="49" t="str">
        <f>IF(AND(AB810=1,'Plant Total by Account'!$H$1=2),"EKWRA","")</f>
        <v/>
      </c>
    </row>
    <row r="811" spans="1:29" x14ac:dyDescent="0.2">
      <c r="A811" s="39" t="s">
        <v>3245</v>
      </c>
      <c r="B811" s="132" t="s">
        <v>937</v>
      </c>
      <c r="C811" s="40" t="s">
        <v>3334</v>
      </c>
      <c r="D811" s="53">
        <v>0</v>
      </c>
      <c r="E811" s="53">
        <v>50768.229999999996</v>
      </c>
      <c r="F811" s="53">
        <v>146231.32</v>
      </c>
      <c r="G811" s="578">
        <f t="shared" si="113"/>
        <v>196999.55</v>
      </c>
      <c r="H811" s="41"/>
      <c r="I811" s="41"/>
      <c r="J811" s="41"/>
      <c r="K811" s="41">
        <f t="shared" si="115"/>
        <v>0</v>
      </c>
      <c r="L811" s="41">
        <f t="shared" si="116"/>
        <v>50768.229999999996</v>
      </c>
      <c r="M811" s="41">
        <f t="shared" si="117"/>
        <v>146231.32</v>
      </c>
      <c r="N811" s="363">
        <f t="shared" si="114"/>
        <v>0</v>
      </c>
      <c r="O811" s="43" t="s">
        <v>3309</v>
      </c>
      <c r="P811" s="43"/>
      <c r="R811" s="41">
        <f t="shared" si="118"/>
        <v>0</v>
      </c>
      <c r="S811" s="41">
        <f t="shared" si="119"/>
        <v>0</v>
      </c>
      <c r="T811" s="41">
        <f t="shared" si="120"/>
        <v>0</v>
      </c>
      <c r="U811" s="41"/>
      <c r="V811" s="44" t="str">
        <f>IF($P811="High",$S811,IF($P811="Mix",SUMIF('High_Low Voltage Mix Summary'!$B$10:$B$17,$B796,'High_Low Voltage Mix Summary'!$D$10:$D$17),""))</f>
        <v/>
      </c>
      <c r="W811" s="44" t="str">
        <f>IF($P811="Low",$S811,IF($P811="Mix",SUMIF('High_Low Voltage Mix Summary'!$B$10:$B$17,$B796,'High_Low Voltage Mix Summary'!$E$10:$E$17),""))</f>
        <v/>
      </c>
      <c r="X811" s="44" t="str">
        <f>IF($P811="High",$T811,IF($P811="Mix",SUMIF('High_Low Voltage Mix Summary'!$B$10:$B$17,$B796,'High_Low Voltage Mix Summary'!$F$10:$F$17),""))</f>
        <v/>
      </c>
      <c r="Y811" s="44" t="str">
        <f>IF($P811="Low",$T811,IF($P811="Mix",SUMIF('High_Low Voltage Mix Summary'!$B$10:$B$17,$B796,'High_Low Voltage Mix Summary'!$G$10:$G$17),""))</f>
        <v/>
      </c>
      <c r="Z811" s="44" t="str">
        <f>IF(OR($P811="High",$P811="Low"),"",IF($P811="Mix",SUMIF('High_Low Voltage Mix Summary'!$B$10:$B$17,$B796,'High_Low Voltage Mix Summary'!$H$10:$H$17),""))</f>
        <v/>
      </c>
      <c r="AB811" s="49">
        <f>SUMIF('Antelope Bailey Split BA'!$B$7:$B$29,B811,'Antelope Bailey Split BA'!$C$7:$C$29)</f>
        <v>0</v>
      </c>
      <c r="AC811" s="49" t="str">
        <f>IF(AND(AB811=1,'Plant Total by Account'!$H$1=2),"EKWRA","")</f>
        <v/>
      </c>
    </row>
    <row r="812" spans="1:29" x14ac:dyDescent="0.2">
      <c r="A812" s="39" t="s">
        <v>3246</v>
      </c>
      <c r="B812" s="132" t="s">
        <v>938</v>
      </c>
      <c r="C812" s="40" t="s">
        <v>3334</v>
      </c>
      <c r="D812" s="53">
        <v>9273.31</v>
      </c>
      <c r="E812" s="53">
        <v>12771.01</v>
      </c>
      <c r="F812" s="53">
        <v>494641.20999999996</v>
      </c>
      <c r="G812" s="578">
        <f t="shared" si="113"/>
        <v>516685.52999999997</v>
      </c>
      <c r="H812" s="41"/>
      <c r="I812" s="41"/>
      <c r="J812" s="41"/>
      <c r="K812" s="41">
        <f t="shared" si="115"/>
        <v>9273.31</v>
      </c>
      <c r="L812" s="41">
        <f t="shared" si="116"/>
        <v>12771.01</v>
      </c>
      <c r="M812" s="41">
        <f t="shared" si="117"/>
        <v>494641.20999999996</v>
      </c>
      <c r="N812" s="363">
        <f t="shared" si="114"/>
        <v>0</v>
      </c>
      <c r="O812" s="43" t="s">
        <v>3309</v>
      </c>
      <c r="P812" s="43"/>
      <c r="R812" s="41">
        <f t="shared" si="118"/>
        <v>0</v>
      </c>
      <c r="S812" s="41">
        <f t="shared" si="119"/>
        <v>0</v>
      </c>
      <c r="T812" s="41">
        <f t="shared" si="120"/>
        <v>0</v>
      </c>
      <c r="U812" s="41"/>
      <c r="V812" s="44" t="str">
        <f>IF($P812="High",$S812,IF($P812="Mix",SUMIF('High_Low Voltage Mix Summary'!$B$10:$B$17,$B798,'High_Low Voltage Mix Summary'!$D$10:$D$17),""))</f>
        <v/>
      </c>
      <c r="W812" s="44" t="str">
        <f>IF($P812="Low",$S812,IF($P812="Mix",SUMIF('High_Low Voltage Mix Summary'!$B$10:$B$17,$B798,'High_Low Voltage Mix Summary'!$E$10:$E$17),""))</f>
        <v/>
      </c>
      <c r="X812" s="44" t="str">
        <f>IF($P812="High",$T812,IF($P812="Mix",SUMIF('High_Low Voltage Mix Summary'!$B$10:$B$17,$B798,'High_Low Voltage Mix Summary'!$F$10:$F$17),""))</f>
        <v/>
      </c>
      <c r="Y812" s="44" t="str">
        <f>IF($P812="Low",$T812,IF($P812="Mix",SUMIF('High_Low Voltage Mix Summary'!$B$10:$B$17,$B798,'High_Low Voltage Mix Summary'!$G$10:$G$17),""))</f>
        <v/>
      </c>
      <c r="Z812" s="44" t="str">
        <f>IF(OR($P812="High",$P812="Low"),"",IF($P812="Mix",SUMIF('High_Low Voltage Mix Summary'!$B$10:$B$17,$B798,'High_Low Voltage Mix Summary'!$H$10:$H$17),""))</f>
        <v/>
      </c>
      <c r="AB812" s="49">
        <f>SUMIF('Antelope Bailey Split BA'!$B$7:$B$29,B812,'Antelope Bailey Split BA'!$C$7:$C$29)</f>
        <v>0</v>
      </c>
      <c r="AC812" s="49" t="str">
        <f>IF(AND(AB812=1,'Plant Total by Account'!$H$1=2),"EKWRA","")</f>
        <v/>
      </c>
    </row>
    <row r="813" spans="1:29" x14ac:dyDescent="0.2">
      <c r="A813" s="39" t="s">
        <v>3247</v>
      </c>
      <c r="B813" s="132" t="s">
        <v>939</v>
      </c>
      <c r="C813" s="40" t="s">
        <v>3334</v>
      </c>
      <c r="D813" s="53">
        <v>7866.9000000000005</v>
      </c>
      <c r="E813" s="53">
        <v>7027.56</v>
      </c>
      <c r="F813" s="53">
        <v>381389.15000000014</v>
      </c>
      <c r="G813" s="578">
        <f t="shared" si="113"/>
        <v>396283.61000000016</v>
      </c>
      <c r="H813" s="41"/>
      <c r="I813" s="41"/>
      <c r="J813" s="41"/>
      <c r="K813" s="41">
        <f t="shared" si="115"/>
        <v>7866.9000000000005</v>
      </c>
      <c r="L813" s="41">
        <f t="shared" si="116"/>
        <v>7027.56</v>
      </c>
      <c r="M813" s="41">
        <f t="shared" si="117"/>
        <v>381389.15000000014</v>
      </c>
      <c r="N813" s="363">
        <f t="shared" si="114"/>
        <v>0</v>
      </c>
      <c r="O813" s="43" t="s">
        <v>3309</v>
      </c>
      <c r="P813" s="43"/>
      <c r="R813" s="41">
        <f t="shared" si="118"/>
        <v>0</v>
      </c>
      <c r="S813" s="41">
        <f t="shared" si="119"/>
        <v>0</v>
      </c>
      <c r="T813" s="41">
        <f t="shared" si="120"/>
        <v>0</v>
      </c>
      <c r="U813" s="41"/>
      <c r="V813" s="44" t="str">
        <f>IF($P813="High",$S813,IF($P813="Mix",SUMIF('High_Low Voltage Mix Summary'!$B$10:$B$17,$B799,'High_Low Voltage Mix Summary'!$D$10:$D$17),""))</f>
        <v/>
      </c>
      <c r="W813" s="44" t="str">
        <f>IF($P813="Low",$S813,IF($P813="Mix",SUMIF('High_Low Voltage Mix Summary'!$B$10:$B$17,$B799,'High_Low Voltage Mix Summary'!$E$10:$E$17),""))</f>
        <v/>
      </c>
      <c r="X813" s="44" t="str">
        <f>IF($P813="High",$T813,IF($P813="Mix",SUMIF('High_Low Voltage Mix Summary'!$B$10:$B$17,$B799,'High_Low Voltage Mix Summary'!$F$10:$F$17),""))</f>
        <v/>
      </c>
      <c r="Y813" s="44" t="str">
        <f>IF($P813="Low",$T813,IF($P813="Mix",SUMIF('High_Low Voltage Mix Summary'!$B$10:$B$17,$B799,'High_Low Voltage Mix Summary'!$G$10:$G$17),""))</f>
        <v/>
      </c>
      <c r="Z813" s="44" t="str">
        <f>IF(OR($P813="High",$P813="Low"),"",IF($P813="Mix",SUMIF('High_Low Voltage Mix Summary'!$B$10:$B$17,$B799,'High_Low Voltage Mix Summary'!$H$10:$H$17),""))</f>
        <v/>
      </c>
      <c r="AB813" s="49">
        <f>SUMIF('Antelope Bailey Split BA'!$B$7:$B$29,B813,'Antelope Bailey Split BA'!$C$7:$C$29)</f>
        <v>0</v>
      </c>
      <c r="AC813" s="49" t="str">
        <f>IF(AND(AB813=1,'Plant Total by Account'!$H$1=2),"EKWRA","")</f>
        <v/>
      </c>
    </row>
    <row r="814" spans="1:29" x14ac:dyDescent="0.2">
      <c r="A814" s="39" t="s">
        <v>2604</v>
      </c>
      <c r="B814" s="132" t="s">
        <v>940</v>
      </c>
      <c r="C814" s="40" t="s">
        <v>3334</v>
      </c>
      <c r="D814" s="53">
        <v>0</v>
      </c>
      <c r="E814" s="53">
        <v>2685.41</v>
      </c>
      <c r="F814" s="53">
        <v>1294904.2599999998</v>
      </c>
      <c r="G814" s="578">
        <f t="shared" si="113"/>
        <v>1297589.6699999997</v>
      </c>
      <c r="H814" s="41"/>
      <c r="I814" s="41"/>
      <c r="J814" s="41"/>
      <c r="K814" s="41">
        <f t="shared" si="115"/>
        <v>0</v>
      </c>
      <c r="L814" s="41">
        <f t="shared" si="116"/>
        <v>2685.41</v>
      </c>
      <c r="M814" s="41">
        <f t="shared" si="117"/>
        <v>1294904.2599999998</v>
      </c>
      <c r="N814" s="363">
        <f t="shared" si="114"/>
        <v>0</v>
      </c>
      <c r="O814" s="43" t="s">
        <v>3309</v>
      </c>
      <c r="P814" s="43"/>
      <c r="R814" s="41">
        <f t="shared" si="118"/>
        <v>0</v>
      </c>
      <c r="S814" s="41">
        <f t="shared" si="119"/>
        <v>0</v>
      </c>
      <c r="T814" s="41">
        <f t="shared" si="120"/>
        <v>0</v>
      </c>
      <c r="U814" s="41"/>
      <c r="V814" s="44" t="str">
        <f>IF($P814="High",$S814,IF($P814="Mix",SUMIF('High_Low Voltage Mix Summary'!$B$10:$B$17,$B800,'High_Low Voltage Mix Summary'!$D$10:$D$17),""))</f>
        <v/>
      </c>
      <c r="W814" s="44" t="str">
        <f>IF($P814="Low",$S814,IF($P814="Mix",SUMIF('High_Low Voltage Mix Summary'!$B$10:$B$17,$B800,'High_Low Voltage Mix Summary'!$E$10:$E$17),""))</f>
        <v/>
      </c>
      <c r="X814" s="44" t="str">
        <f>IF($P814="High",$T814,IF($P814="Mix",SUMIF('High_Low Voltage Mix Summary'!$B$10:$B$17,$B800,'High_Low Voltage Mix Summary'!$F$10:$F$17),""))</f>
        <v/>
      </c>
      <c r="Y814" s="44" t="str">
        <f>IF($P814="Low",$T814,IF($P814="Mix",SUMIF('High_Low Voltage Mix Summary'!$B$10:$B$17,$B800,'High_Low Voltage Mix Summary'!$G$10:$G$17),""))</f>
        <v/>
      </c>
      <c r="Z814" s="44" t="str">
        <f>IF(OR($P814="High",$P814="Low"),"",IF($P814="Mix",SUMIF('High_Low Voltage Mix Summary'!$B$10:$B$17,$B800,'High_Low Voltage Mix Summary'!$H$10:$H$17),""))</f>
        <v/>
      </c>
      <c r="AB814" s="49">
        <f>SUMIF('Antelope Bailey Split BA'!$B$7:$B$29,B814,'Antelope Bailey Split BA'!$C$7:$C$29)</f>
        <v>0</v>
      </c>
      <c r="AC814" s="49" t="str">
        <f>IF(AND(AB814=1,'Plant Total by Account'!$H$1=2),"EKWRA","")</f>
        <v/>
      </c>
    </row>
    <row r="815" spans="1:29" x14ac:dyDescent="0.2">
      <c r="A815" s="39" t="s">
        <v>3248</v>
      </c>
      <c r="B815" s="132" t="s">
        <v>941</v>
      </c>
      <c r="C815" s="40" t="s">
        <v>3334</v>
      </c>
      <c r="D815" s="53">
        <v>0</v>
      </c>
      <c r="E815" s="53">
        <v>5308.61</v>
      </c>
      <c r="F815" s="53">
        <v>341042.21</v>
      </c>
      <c r="G815" s="578">
        <f t="shared" si="113"/>
        <v>346350.82</v>
      </c>
      <c r="H815" s="41"/>
      <c r="I815" s="41"/>
      <c r="J815" s="41"/>
      <c r="K815" s="41">
        <f t="shared" si="115"/>
        <v>0</v>
      </c>
      <c r="L815" s="41">
        <f t="shared" si="116"/>
        <v>5308.61</v>
      </c>
      <c r="M815" s="41">
        <f t="shared" si="117"/>
        <v>341042.21</v>
      </c>
      <c r="N815" s="363">
        <f t="shared" si="114"/>
        <v>0</v>
      </c>
      <c r="O815" s="43" t="s">
        <v>3309</v>
      </c>
      <c r="P815" s="43"/>
      <c r="R815" s="41">
        <f t="shared" si="118"/>
        <v>0</v>
      </c>
      <c r="S815" s="41">
        <f t="shared" si="119"/>
        <v>0</v>
      </c>
      <c r="T815" s="41">
        <f t="shared" si="120"/>
        <v>0</v>
      </c>
      <c r="U815" s="41"/>
      <c r="V815" s="44" t="str">
        <f>IF($P815="High",$S815,IF($P815="Mix",SUMIF('High_Low Voltage Mix Summary'!$B$10:$B$17,$B801,'High_Low Voltage Mix Summary'!$D$10:$D$17),""))</f>
        <v/>
      </c>
      <c r="W815" s="44" t="str">
        <f>IF($P815="Low",$S815,IF($P815="Mix",SUMIF('High_Low Voltage Mix Summary'!$B$10:$B$17,$B801,'High_Low Voltage Mix Summary'!$E$10:$E$17),""))</f>
        <v/>
      </c>
      <c r="X815" s="44" t="str">
        <f>IF($P815="High",$T815,IF($P815="Mix",SUMIF('High_Low Voltage Mix Summary'!$B$10:$B$17,$B801,'High_Low Voltage Mix Summary'!$F$10:$F$17),""))</f>
        <v/>
      </c>
      <c r="Y815" s="44" t="str">
        <f>IF($P815="Low",$T815,IF($P815="Mix",SUMIF('High_Low Voltage Mix Summary'!$B$10:$B$17,$B801,'High_Low Voltage Mix Summary'!$G$10:$G$17),""))</f>
        <v/>
      </c>
      <c r="Z815" s="44" t="str">
        <f>IF(OR($P815="High",$P815="Low"),"",IF($P815="Mix",SUMIF('High_Low Voltage Mix Summary'!$B$10:$B$17,$B801,'High_Low Voltage Mix Summary'!$H$10:$H$17),""))</f>
        <v/>
      </c>
      <c r="AB815" s="49">
        <f>SUMIF('Antelope Bailey Split BA'!$B$7:$B$29,B815,'Antelope Bailey Split BA'!$C$7:$C$29)</f>
        <v>0</v>
      </c>
      <c r="AC815" s="49" t="str">
        <f>IF(AND(AB815=1,'Plant Total by Account'!$H$1=2),"EKWRA","")</f>
        <v/>
      </c>
    </row>
    <row r="816" spans="1:29" x14ac:dyDescent="0.2">
      <c r="A816" s="39" t="s">
        <v>3249</v>
      </c>
      <c r="B816" s="132" t="s">
        <v>942</v>
      </c>
      <c r="C816" s="40" t="s">
        <v>3334</v>
      </c>
      <c r="D816" s="53">
        <v>0</v>
      </c>
      <c r="E816" s="53">
        <v>2990.62</v>
      </c>
      <c r="F816" s="53">
        <v>1281905.58</v>
      </c>
      <c r="G816" s="578">
        <f t="shared" si="113"/>
        <v>1284896.2000000002</v>
      </c>
      <c r="H816" s="41"/>
      <c r="I816" s="41"/>
      <c r="J816" s="41"/>
      <c r="K816" s="41">
        <f t="shared" si="115"/>
        <v>0</v>
      </c>
      <c r="L816" s="41">
        <f t="shared" si="116"/>
        <v>2990.62</v>
      </c>
      <c r="M816" s="41">
        <f t="shared" si="117"/>
        <v>1281905.58</v>
      </c>
      <c r="N816" s="363">
        <f t="shared" si="114"/>
        <v>0</v>
      </c>
      <c r="O816" s="43" t="s">
        <v>3309</v>
      </c>
      <c r="P816" s="43"/>
      <c r="R816" s="41">
        <f t="shared" si="118"/>
        <v>0</v>
      </c>
      <c r="S816" s="41">
        <f t="shared" si="119"/>
        <v>0</v>
      </c>
      <c r="T816" s="41">
        <f t="shared" si="120"/>
        <v>0</v>
      </c>
      <c r="U816" s="41"/>
      <c r="V816" s="44" t="str">
        <f>IF($P816="High",$S816,IF($P816="Mix",SUMIF('High_Low Voltage Mix Summary'!$B$10:$B$17,$B802,'High_Low Voltage Mix Summary'!$D$10:$D$17),""))</f>
        <v/>
      </c>
      <c r="W816" s="44" t="str">
        <f>IF($P816="Low",$S816,IF($P816="Mix",SUMIF('High_Low Voltage Mix Summary'!$B$10:$B$17,$B802,'High_Low Voltage Mix Summary'!$E$10:$E$17),""))</f>
        <v/>
      </c>
      <c r="X816" s="44" t="str">
        <f>IF($P816="High",$T816,IF($P816="Mix",SUMIF('High_Low Voltage Mix Summary'!$B$10:$B$17,$B802,'High_Low Voltage Mix Summary'!$F$10:$F$17),""))</f>
        <v/>
      </c>
      <c r="Y816" s="44" t="str">
        <f>IF($P816="Low",$T816,IF($P816="Mix",SUMIF('High_Low Voltage Mix Summary'!$B$10:$B$17,$B802,'High_Low Voltage Mix Summary'!$G$10:$G$17),""))</f>
        <v/>
      </c>
      <c r="Z816" s="44" t="str">
        <f>IF(OR($P816="High",$P816="Low"),"",IF($P816="Mix",SUMIF('High_Low Voltage Mix Summary'!$B$10:$B$17,$B802,'High_Low Voltage Mix Summary'!$H$10:$H$17),""))</f>
        <v/>
      </c>
      <c r="AB816" s="49">
        <f>SUMIF('Antelope Bailey Split BA'!$B$7:$B$29,B816,'Antelope Bailey Split BA'!$C$7:$C$29)</f>
        <v>0</v>
      </c>
      <c r="AC816" s="49" t="str">
        <f>IF(AND(AB816=1,'Plant Total by Account'!$H$1=2),"EKWRA","")</f>
        <v/>
      </c>
    </row>
    <row r="817" spans="1:29" x14ac:dyDescent="0.2">
      <c r="A817" s="39" t="s">
        <v>3250</v>
      </c>
      <c r="B817" s="132" t="s">
        <v>943</v>
      </c>
      <c r="C817" s="40" t="s">
        <v>3334</v>
      </c>
      <c r="D817" s="53">
        <v>0</v>
      </c>
      <c r="E817" s="53">
        <v>7504.5</v>
      </c>
      <c r="F817" s="53">
        <v>72781.679999999993</v>
      </c>
      <c r="G817" s="578">
        <f t="shared" si="113"/>
        <v>80286.179999999993</v>
      </c>
      <c r="H817" s="41"/>
      <c r="I817" s="41"/>
      <c r="J817" s="41"/>
      <c r="K817" s="41">
        <f t="shared" si="115"/>
        <v>0</v>
      </c>
      <c r="L817" s="41">
        <f t="shared" si="116"/>
        <v>7504.5</v>
      </c>
      <c r="M817" s="41">
        <f t="shared" si="117"/>
        <v>72781.679999999993</v>
      </c>
      <c r="N817" s="363">
        <f t="shared" si="114"/>
        <v>0</v>
      </c>
      <c r="O817" s="43" t="s">
        <v>3309</v>
      </c>
      <c r="P817" s="43"/>
      <c r="R817" s="41">
        <f t="shared" si="118"/>
        <v>0</v>
      </c>
      <c r="S817" s="41">
        <f t="shared" si="119"/>
        <v>0</v>
      </c>
      <c r="T817" s="41">
        <f t="shared" si="120"/>
        <v>0</v>
      </c>
      <c r="U817" s="41"/>
      <c r="V817" s="44" t="str">
        <f>IF($P817="High",$S817,IF($P817="Mix",SUMIF('High_Low Voltage Mix Summary'!$B$10:$B$17,$B803,'High_Low Voltage Mix Summary'!$D$10:$D$17),""))</f>
        <v/>
      </c>
      <c r="W817" s="44" t="str">
        <f>IF($P817="Low",$S817,IF($P817="Mix",SUMIF('High_Low Voltage Mix Summary'!$B$10:$B$17,$B803,'High_Low Voltage Mix Summary'!$E$10:$E$17),""))</f>
        <v/>
      </c>
      <c r="X817" s="44" t="str">
        <f>IF($P817="High",$T817,IF($P817="Mix",SUMIF('High_Low Voltage Mix Summary'!$B$10:$B$17,$B803,'High_Low Voltage Mix Summary'!$F$10:$F$17),""))</f>
        <v/>
      </c>
      <c r="Y817" s="44" t="str">
        <f>IF($P817="Low",$T817,IF($P817="Mix",SUMIF('High_Low Voltage Mix Summary'!$B$10:$B$17,$B803,'High_Low Voltage Mix Summary'!$G$10:$G$17),""))</f>
        <v/>
      </c>
      <c r="Z817" s="44" t="str">
        <f>IF(OR($P817="High",$P817="Low"),"",IF($P817="Mix",SUMIF('High_Low Voltage Mix Summary'!$B$10:$B$17,$B803,'High_Low Voltage Mix Summary'!$H$10:$H$17),""))</f>
        <v/>
      </c>
      <c r="AB817" s="49">
        <f>SUMIF('Antelope Bailey Split BA'!$B$7:$B$29,B817,'Antelope Bailey Split BA'!$C$7:$C$29)</f>
        <v>0</v>
      </c>
      <c r="AC817" s="49" t="str">
        <f>IF(AND(AB817=1,'Plant Total by Account'!$H$1=2),"EKWRA","")</f>
        <v/>
      </c>
    </row>
    <row r="818" spans="1:29" x14ac:dyDescent="0.2">
      <c r="A818" s="39" t="s">
        <v>3251</v>
      </c>
      <c r="B818" s="132" t="s">
        <v>944</v>
      </c>
      <c r="C818" s="40" t="s">
        <v>3334</v>
      </c>
      <c r="D818" s="53">
        <v>2627.53</v>
      </c>
      <c r="E818" s="53">
        <v>1972.25</v>
      </c>
      <c r="F818" s="53">
        <v>384899.74</v>
      </c>
      <c r="G818" s="578">
        <f t="shared" si="113"/>
        <v>389499.52</v>
      </c>
      <c r="H818" s="41"/>
      <c r="I818" s="41"/>
      <c r="J818" s="41"/>
      <c r="K818" s="41">
        <f t="shared" si="115"/>
        <v>2627.53</v>
      </c>
      <c r="L818" s="41">
        <f t="shared" si="116"/>
        <v>1972.25</v>
      </c>
      <c r="M818" s="41">
        <f t="shared" si="117"/>
        <v>384899.74</v>
      </c>
      <c r="N818" s="363">
        <f t="shared" si="114"/>
        <v>0</v>
      </c>
      <c r="O818" s="43" t="s">
        <v>3309</v>
      </c>
      <c r="P818" s="43"/>
      <c r="R818" s="41">
        <f t="shared" si="118"/>
        <v>0</v>
      </c>
      <c r="S818" s="41">
        <f t="shared" si="119"/>
        <v>0</v>
      </c>
      <c r="T818" s="41">
        <f t="shared" si="120"/>
        <v>0</v>
      </c>
      <c r="U818" s="41"/>
      <c r="V818" s="44" t="str">
        <f>IF($P818="High",$S818,IF($P818="Mix",SUMIF('High_Low Voltage Mix Summary'!$B$10:$B$17,$B804,'High_Low Voltage Mix Summary'!$D$10:$D$17),""))</f>
        <v/>
      </c>
      <c r="W818" s="44" t="str">
        <f>IF($P818="Low",$S818,IF($P818="Mix",SUMIF('High_Low Voltage Mix Summary'!$B$10:$B$17,$B804,'High_Low Voltage Mix Summary'!$E$10:$E$17),""))</f>
        <v/>
      </c>
      <c r="X818" s="44" t="str">
        <f>IF($P818="High",$T818,IF($P818="Mix",SUMIF('High_Low Voltage Mix Summary'!$B$10:$B$17,$B804,'High_Low Voltage Mix Summary'!$F$10:$F$17),""))</f>
        <v/>
      </c>
      <c r="Y818" s="44" t="str">
        <f>IF($P818="Low",$T818,IF($P818="Mix",SUMIF('High_Low Voltage Mix Summary'!$B$10:$B$17,$B804,'High_Low Voltage Mix Summary'!$G$10:$G$17),""))</f>
        <v/>
      </c>
      <c r="Z818" s="44" t="str">
        <f>IF(OR($P818="High",$P818="Low"),"",IF($P818="Mix",SUMIF('High_Low Voltage Mix Summary'!$B$10:$B$17,$B804,'High_Low Voltage Mix Summary'!$H$10:$H$17),""))</f>
        <v/>
      </c>
      <c r="AB818" s="49">
        <f>SUMIF('Antelope Bailey Split BA'!$B$7:$B$29,B818,'Antelope Bailey Split BA'!$C$7:$C$29)</f>
        <v>0</v>
      </c>
      <c r="AC818" s="49" t="str">
        <f>IF(AND(AB818=1,'Plant Total by Account'!$H$1=2),"EKWRA","")</f>
        <v/>
      </c>
    </row>
    <row r="819" spans="1:29" ht="13.5" customHeight="1" x14ac:dyDescent="0.2">
      <c r="A819" s="39" t="s">
        <v>3252</v>
      </c>
      <c r="B819" s="132" t="s">
        <v>945</v>
      </c>
      <c r="C819" s="40" t="s">
        <v>3334</v>
      </c>
      <c r="D819" s="53">
        <v>8184.45</v>
      </c>
      <c r="E819" s="53">
        <v>18408.050000000003</v>
      </c>
      <c r="F819" s="53">
        <v>1678215.7300000007</v>
      </c>
      <c r="G819" s="578">
        <f t="shared" si="113"/>
        <v>1704808.2300000007</v>
      </c>
      <c r="H819" s="41"/>
      <c r="I819" s="41"/>
      <c r="J819" s="41"/>
      <c r="K819" s="41">
        <f t="shared" si="115"/>
        <v>8184.45</v>
      </c>
      <c r="L819" s="41">
        <f t="shared" si="116"/>
        <v>18408.050000000003</v>
      </c>
      <c r="M819" s="41">
        <f t="shared" si="117"/>
        <v>1678215.7300000007</v>
      </c>
      <c r="N819" s="363">
        <f t="shared" si="114"/>
        <v>0</v>
      </c>
      <c r="O819" s="43" t="s">
        <v>3309</v>
      </c>
      <c r="P819" s="43"/>
      <c r="R819" s="41">
        <f t="shared" si="118"/>
        <v>0</v>
      </c>
      <c r="S819" s="41">
        <f t="shared" si="119"/>
        <v>0</v>
      </c>
      <c r="T819" s="41">
        <f t="shared" si="120"/>
        <v>0</v>
      </c>
      <c r="U819" s="41"/>
      <c r="V819" s="44" t="str">
        <f>IF($P819="High",$S819,IF($P819="Mix",SUMIF('High_Low Voltage Mix Summary'!$B$10:$B$17,$B805,'High_Low Voltage Mix Summary'!$D$10:$D$17),""))</f>
        <v/>
      </c>
      <c r="W819" s="44" t="str">
        <f>IF($P819="Low",$S819,IF($P819="Mix",SUMIF('High_Low Voltage Mix Summary'!$B$10:$B$17,$B805,'High_Low Voltage Mix Summary'!$E$10:$E$17),""))</f>
        <v/>
      </c>
      <c r="X819" s="44" t="str">
        <f>IF($P819="High",$T819,IF($P819="Mix",SUMIF('High_Low Voltage Mix Summary'!$B$10:$B$17,$B805,'High_Low Voltage Mix Summary'!$F$10:$F$17),""))</f>
        <v/>
      </c>
      <c r="Y819" s="44" t="str">
        <f>IF($P819="Low",$T819,IF($P819="Mix",SUMIF('High_Low Voltage Mix Summary'!$B$10:$B$17,$B805,'High_Low Voltage Mix Summary'!$G$10:$G$17),""))</f>
        <v/>
      </c>
      <c r="Z819" s="44" t="str">
        <f>IF(OR($P819="High",$P819="Low"),"",IF($P819="Mix",SUMIF('High_Low Voltage Mix Summary'!$B$10:$B$17,$B805,'High_Low Voltage Mix Summary'!$H$10:$H$17),""))</f>
        <v/>
      </c>
      <c r="AB819" s="49">
        <f>SUMIF('Antelope Bailey Split BA'!$B$7:$B$29,B819,'Antelope Bailey Split BA'!$C$7:$C$29)</f>
        <v>0</v>
      </c>
      <c r="AC819" s="49" t="str">
        <f>IF(AND(AB819=1,'Plant Total by Account'!$H$1=2),"EKWRA","")</f>
        <v/>
      </c>
    </row>
    <row r="820" spans="1:29" x14ac:dyDescent="0.2">
      <c r="A820" s="39" t="s">
        <v>3253</v>
      </c>
      <c r="B820" s="132" t="s">
        <v>946</v>
      </c>
      <c r="C820" s="40" t="s">
        <v>3334</v>
      </c>
      <c r="D820" s="53">
        <v>5964.82</v>
      </c>
      <c r="E820" s="53">
        <v>19739.809999999998</v>
      </c>
      <c r="F820" s="53">
        <v>305634.16000000003</v>
      </c>
      <c r="G820" s="578">
        <f t="shared" si="113"/>
        <v>331338.79000000004</v>
      </c>
      <c r="H820" s="41"/>
      <c r="I820" s="41"/>
      <c r="J820" s="41"/>
      <c r="K820" s="41">
        <f t="shared" si="115"/>
        <v>5964.82</v>
      </c>
      <c r="L820" s="41">
        <f t="shared" si="116"/>
        <v>19739.809999999998</v>
      </c>
      <c r="M820" s="41">
        <f t="shared" si="117"/>
        <v>305634.16000000003</v>
      </c>
      <c r="N820" s="363">
        <f t="shared" si="114"/>
        <v>0</v>
      </c>
      <c r="O820" s="43" t="s">
        <v>3309</v>
      </c>
      <c r="P820" s="43"/>
      <c r="R820" s="41">
        <f t="shared" si="118"/>
        <v>0</v>
      </c>
      <c r="S820" s="41">
        <f t="shared" si="119"/>
        <v>0</v>
      </c>
      <c r="T820" s="41">
        <f t="shared" si="120"/>
        <v>0</v>
      </c>
      <c r="U820" s="41"/>
      <c r="V820" s="44" t="str">
        <f>IF($P820="High",$S820,IF($P820="Mix",SUMIF('High_Low Voltage Mix Summary'!$B$10:$B$17,$B806,'High_Low Voltage Mix Summary'!$D$10:$D$17),""))</f>
        <v/>
      </c>
      <c r="W820" s="44" t="str">
        <f>IF($P820="Low",$S820,IF($P820="Mix",SUMIF('High_Low Voltage Mix Summary'!$B$10:$B$17,$B806,'High_Low Voltage Mix Summary'!$E$10:$E$17),""))</f>
        <v/>
      </c>
      <c r="X820" s="44" t="str">
        <f>IF($P820="High",$T820,IF($P820="Mix",SUMIF('High_Low Voltage Mix Summary'!$B$10:$B$17,$B806,'High_Low Voltage Mix Summary'!$F$10:$F$17),""))</f>
        <v/>
      </c>
      <c r="Y820" s="44" t="str">
        <f>IF($P820="Low",$T820,IF($P820="Mix",SUMIF('High_Low Voltage Mix Summary'!$B$10:$B$17,$B806,'High_Low Voltage Mix Summary'!$G$10:$G$17),""))</f>
        <v/>
      </c>
      <c r="Z820" s="44" t="str">
        <f>IF(OR($P820="High",$P820="Low"),"",IF($P820="Mix",SUMIF('High_Low Voltage Mix Summary'!$B$10:$B$17,$B806,'High_Low Voltage Mix Summary'!$H$10:$H$17),""))</f>
        <v/>
      </c>
      <c r="AB820" s="49">
        <f>SUMIF('Antelope Bailey Split BA'!$B$7:$B$29,B820,'Antelope Bailey Split BA'!$C$7:$C$29)</f>
        <v>0</v>
      </c>
      <c r="AC820" s="49" t="str">
        <f>IF(AND(AB820=1,'Plant Total by Account'!$H$1=2),"EKWRA","")</f>
        <v/>
      </c>
    </row>
    <row r="821" spans="1:29" x14ac:dyDescent="0.2">
      <c r="A821" s="39" t="s">
        <v>2605</v>
      </c>
      <c r="B821" s="132" t="s">
        <v>947</v>
      </c>
      <c r="C821" s="40" t="s">
        <v>3334</v>
      </c>
      <c r="D821" s="53">
        <v>0</v>
      </c>
      <c r="E821" s="53">
        <v>28500.09</v>
      </c>
      <c r="F821" s="53">
        <v>368969.9</v>
      </c>
      <c r="G821" s="578">
        <f t="shared" si="113"/>
        <v>397469.99000000005</v>
      </c>
      <c r="H821" s="41"/>
      <c r="I821" s="41"/>
      <c r="J821" s="41"/>
      <c r="K821" s="41">
        <f t="shared" si="115"/>
        <v>0</v>
      </c>
      <c r="L821" s="41">
        <f t="shared" si="116"/>
        <v>28500.09</v>
      </c>
      <c r="M821" s="41">
        <f t="shared" si="117"/>
        <v>368969.9</v>
      </c>
      <c r="N821" s="363">
        <f t="shared" si="114"/>
        <v>0</v>
      </c>
      <c r="O821" s="43" t="s">
        <v>3309</v>
      </c>
      <c r="P821" s="43"/>
      <c r="R821" s="41">
        <f t="shared" si="118"/>
        <v>0</v>
      </c>
      <c r="S821" s="41">
        <f t="shared" si="119"/>
        <v>0</v>
      </c>
      <c r="T821" s="41">
        <f t="shared" si="120"/>
        <v>0</v>
      </c>
      <c r="U821" s="41"/>
      <c r="V821" s="44" t="str">
        <f>IF($P821="High",$S821,IF($P821="Mix",SUMIF('High_Low Voltage Mix Summary'!$B$10:$B$17,$B807,'High_Low Voltage Mix Summary'!$D$10:$D$17),""))</f>
        <v/>
      </c>
      <c r="W821" s="44" t="str">
        <f>IF($P821="Low",$S821,IF($P821="Mix",SUMIF('High_Low Voltage Mix Summary'!$B$10:$B$17,$B807,'High_Low Voltage Mix Summary'!$E$10:$E$17),""))</f>
        <v/>
      </c>
      <c r="X821" s="44" t="str">
        <f>IF($P821="High",$T821,IF($P821="Mix",SUMIF('High_Low Voltage Mix Summary'!$B$10:$B$17,$B807,'High_Low Voltage Mix Summary'!$F$10:$F$17),""))</f>
        <v/>
      </c>
      <c r="Y821" s="44" t="str">
        <f>IF($P821="Low",$T821,IF($P821="Mix",SUMIF('High_Low Voltage Mix Summary'!$B$10:$B$17,$B807,'High_Low Voltage Mix Summary'!$G$10:$G$17),""))</f>
        <v/>
      </c>
      <c r="Z821" s="44" t="str">
        <f>IF(OR($P821="High",$P821="Low"),"",IF($P821="Mix",SUMIF('High_Low Voltage Mix Summary'!$B$10:$B$17,$B807,'High_Low Voltage Mix Summary'!$H$10:$H$17),""))</f>
        <v/>
      </c>
      <c r="AB821" s="49">
        <f>SUMIF('Antelope Bailey Split BA'!$B$7:$B$29,B821,'Antelope Bailey Split BA'!$C$7:$C$29)</f>
        <v>0</v>
      </c>
      <c r="AC821" s="49" t="str">
        <f>IF(AND(AB821=1,'Plant Total by Account'!$H$1=2),"EKWRA","")</f>
        <v/>
      </c>
    </row>
    <row r="822" spans="1:29" x14ac:dyDescent="0.2">
      <c r="A822" s="39" t="s">
        <v>3254</v>
      </c>
      <c r="B822" s="132" t="s">
        <v>948</v>
      </c>
      <c r="C822" s="40" t="s">
        <v>3334</v>
      </c>
      <c r="D822" s="53">
        <v>0</v>
      </c>
      <c r="E822" s="53">
        <v>0</v>
      </c>
      <c r="F822" s="53">
        <v>128111.88</v>
      </c>
      <c r="G822" s="578">
        <f t="shared" si="113"/>
        <v>128111.88</v>
      </c>
      <c r="H822" s="41"/>
      <c r="I822" s="41"/>
      <c r="J822" s="41"/>
      <c r="K822" s="41">
        <f t="shared" si="115"/>
        <v>0</v>
      </c>
      <c r="L822" s="41">
        <f t="shared" si="116"/>
        <v>0</v>
      </c>
      <c r="M822" s="41">
        <f t="shared" si="117"/>
        <v>128111.88</v>
      </c>
      <c r="N822" s="363">
        <f t="shared" si="114"/>
        <v>0</v>
      </c>
      <c r="O822" s="43" t="s">
        <v>3309</v>
      </c>
      <c r="P822" s="43"/>
      <c r="R822" s="41">
        <f t="shared" si="118"/>
        <v>0</v>
      </c>
      <c r="S822" s="41">
        <f t="shared" si="119"/>
        <v>0</v>
      </c>
      <c r="T822" s="41">
        <f t="shared" si="120"/>
        <v>0</v>
      </c>
      <c r="U822" s="41"/>
      <c r="V822" s="44" t="str">
        <f>IF($P822="High",$S822,IF($P822="Mix",SUMIF('High_Low Voltage Mix Summary'!$B$10:$B$17,$B808,'High_Low Voltage Mix Summary'!$D$10:$D$17),""))</f>
        <v/>
      </c>
      <c r="W822" s="44" t="str">
        <f>IF($P822="Low",$S822,IF($P822="Mix",SUMIF('High_Low Voltage Mix Summary'!$B$10:$B$17,$B808,'High_Low Voltage Mix Summary'!$E$10:$E$17),""))</f>
        <v/>
      </c>
      <c r="X822" s="44" t="str">
        <f>IF($P822="High",$T822,IF($P822="Mix",SUMIF('High_Low Voltage Mix Summary'!$B$10:$B$17,$B808,'High_Low Voltage Mix Summary'!$F$10:$F$17),""))</f>
        <v/>
      </c>
      <c r="Y822" s="44" t="str">
        <f>IF($P822="Low",$T822,IF($P822="Mix",SUMIF('High_Low Voltage Mix Summary'!$B$10:$B$17,$B808,'High_Low Voltage Mix Summary'!$G$10:$G$17),""))</f>
        <v/>
      </c>
      <c r="Z822" s="44" t="str">
        <f>IF(OR($P822="High",$P822="Low"),"",IF($P822="Mix",SUMIF('High_Low Voltage Mix Summary'!$B$10:$B$17,$B808,'High_Low Voltage Mix Summary'!$H$10:$H$17),""))</f>
        <v/>
      </c>
      <c r="AB822" s="49">
        <f>SUMIF('Antelope Bailey Split BA'!$B$7:$B$29,B822,'Antelope Bailey Split BA'!$C$7:$C$29)</f>
        <v>0</v>
      </c>
      <c r="AC822" s="49" t="str">
        <f>IF(AND(AB822=1,'Plant Total by Account'!$H$1=2),"EKWRA","")</f>
        <v/>
      </c>
    </row>
    <row r="823" spans="1:29" x14ac:dyDescent="0.2">
      <c r="A823" s="39" t="s">
        <v>3255</v>
      </c>
      <c r="B823" s="132" t="s">
        <v>949</v>
      </c>
      <c r="C823" s="40" t="s">
        <v>3334</v>
      </c>
      <c r="D823" s="53">
        <v>0</v>
      </c>
      <c r="E823" s="53">
        <v>13247.060000000001</v>
      </c>
      <c r="F823" s="53">
        <v>428755.65000000014</v>
      </c>
      <c r="G823" s="578">
        <f t="shared" si="113"/>
        <v>442002.71000000014</v>
      </c>
      <c r="H823" s="41"/>
      <c r="I823" s="41"/>
      <c r="J823" s="41"/>
      <c r="K823" s="41">
        <f t="shared" si="115"/>
        <v>0</v>
      </c>
      <c r="L823" s="41">
        <f t="shared" si="116"/>
        <v>13247.060000000001</v>
      </c>
      <c r="M823" s="41">
        <f t="shared" si="117"/>
        <v>428755.65000000014</v>
      </c>
      <c r="N823" s="363">
        <f t="shared" si="114"/>
        <v>0</v>
      </c>
      <c r="O823" s="43" t="s">
        <v>3309</v>
      </c>
      <c r="P823" s="43"/>
      <c r="R823" s="41">
        <f t="shared" si="118"/>
        <v>0</v>
      </c>
      <c r="S823" s="41">
        <f t="shared" si="119"/>
        <v>0</v>
      </c>
      <c r="T823" s="41">
        <f t="shared" si="120"/>
        <v>0</v>
      </c>
      <c r="U823" s="41"/>
      <c r="V823" s="44" t="str">
        <f>IF($P823="High",$S823,IF($P823="Mix",SUMIF('High_Low Voltage Mix Summary'!$B$10:$B$17,$B809,'High_Low Voltage Mix Summary'!$D$10:$D$17),""))</f>
        <v/>
      </c>
      <c r="W823" s="44" t="str">
        <f>IF($P823="Low",$S823,IF($P823="Mix",SUMIF('High_Low Voltage Mix Summary'!$B$10:$B$17,$B809,'High_Low Voltage Mix Summary'!$E$10:$E$17),""))</f>
        <v/>
      </c>
      <c r="X823" s="44" t="str">
        <f>IF($P823="High",$T823,IF($P823="Mix",SUMIF('High_Low Voltage Mix Summary'!$B$10:$B$17,$B809,'High_Low Voltage Mix Summary'!$F$10:$F$17),""))</f>
        <v/>
      </c>
      <c r="Y823" s="44" t="str">
        <f>IF($P823="Low",$T823,IF($P823="Mix",SUMIF('High_Low Voltage Mix Summary'!$B$10:$B$17,$B809,'High_Low Voltage Mix Summary'!$G$10:$G$17),""))</f>
        <v/>
      </c>
      <c r="Z823" s="44" t="str">
        <f>IF(OR($P823="High",$P823="Low"),"",IF($P823="Mix",SUMIF('High_Low Voltage Mix Summary'!$B$10:$B$17,$B809,'High_Low Voltage Mix Summary'!$H$10:$H$17),""))</f>
        <v/>
      </c>
      <c r="AB823" s="49">
        <f>SUMIF('Antelope Bailey Split BA'!$B$7:$B$29,B823,'Antelope Bailey Split BA'!$C$7:$C$29)</f>
        <v>0</v>
      </c>
      <c r="AC823" s="49" t="str">
        <f>IF(AND(AB823=1,'Plant Total by Account'!$H$1=2),"EKWRA","")</f>
        <v/>
      </c>
    </row>
    <row r="824" spans="1:29" x14ac:dyDescent="0.2">
      <c r="A824" s="39" t="s">
        <v>3256</v>
      </c>
      <c r="B824" s="132" t="s">
        <v>950</v>
      </c>
      <c r="C824" s="40" t="s">
        <v>3334</v>
      </c>
      <c r="D824" s="53">
        <v>308987.93</v>
      </c>
      <c r="E824" s="53">
        <v>390418.87000000005</v>
      </c>
      <c r="F824" s="53">
        <v>2477303.9600000004</v>
      </c>
      <c r="G824" s="578">
        <f t="shared" si="113"/>
        <v>3176710.7600000007</v>
      </c>
      <c r="H824" s="41"/>
      <c r="I824" s="41"/>
      <c r="J824" s="41"/>
      <c r="K824" s="41">
        <f t="shared" si="115"/>
        <v>308987.93</v>
      </c>
      <c r="L824" s="41">
        <f t="shared" si="116"/>
        <v>390418.87000000005</v>
      </c>
      <c r="M824" s="41">
        <f t="shared" si="117"/>
        <v>2477303.9600000004</v>
      </c>
      <c r="N824" s="363">
        <f t="shared" si="114"/>
        <v>0</v>
      </c>
      <c r="O824" s="43" t="s">
        <v>3309</v>
      </c>
      <c r="P824" s="43"/>
      <c r="R824" s="41">
        <f t="shared" si="118"/>
        <v>0</v>
      </c>
      <c r="S824" s="41">
        <f t="shared" si="119"/>
        <v>0</v>
      </c>
      <c r="T824" s="41">
        <f t="shared" si="120"/>
        <v>0</v>
      </c>
      <c r="U824" s="41"/>
      <c r="V824" s="44" t="str">
        <f>IF($P824="High",$S824,IF($P824="Mix",SUMIF('High_Low Voltage Mix Summary'!$B$10:$B$17,$B810,'High_Low Voltage Mix Summary'!$D$10:$D$17),""))</f>
        <v/>
      </c>
      <c r="W824" s="44" t="str">
        <f>IF($P824="Low",$S824,IF($P824="Mix",SUMIF('High_Low Voltage Mix Summary'!$B$10:$B$17,$B810,'High_Low Voltage Mix Summary'!$E$10:$E$17),""))</f>
        <v/>
      </c>
      <c r="X824" s="44" t="str">
        <f>IF($P824="High",$T824,IF($P824="Mix",SUMIF('High_Low Voltage Mix Summary'!$B$10:$B$17,$B810,'High_Low Voltage Mix Summary'!$F$10:$F$17),""))</f>
        <v/>
      </c>
      <c r="Y824" s="44" t="str">
        <f>IF($P824="Low",$T824,IF($P824="Mix",SUMIF('High_Low Voltage Mix Summary'!$B$10:$B$17,$B810,'High_Low Voltage Mix Summary'!$G$10:$G$17),""))</f>
        <v/>
      </c>
      <c r="Z824" s="44" t="str">
        <f>IF(OR($P824="High",$P824="Low"),"",IF($P824="Mix",SUMIF('High_Low Voltage Mix Summary'!$B$10:$B$17,$B810,'High_Low Voltage Mix Summary'!$H$10:$H$17),""))</f>
        <v/>
      </c>
      <c r="AB824" s="49">
        <f>SUMIF('Antelope Bailey Split BA'!$B$7:$B$29,B824,'Antelope Bailey Split BA'!$C$7:$C$29)</f>
        <v>0</v>
      </c>
      <c r="AC824" s="49" t="str">
        <f>IF(AND(AB824=1,'Plant Total by Account'!$H$1=2),"EKWRA","")</f>
        <v/>
      </c>
    </row>
    <row r="825" spans="1:29" x14ac:dyDescent="0.2">
      <c r="A825" s="39" t="s">
        <v>3257</v>
      </c>
      <c r="B825" s="132" t="s">
        <v>951</v>
      </c>
      <c r="C825" s="40" t="s">
        <v>3334</v>
      </c>
      <c r="D825" s="53">
        <v>60389.310000000005</v>
      </c>
      <c r="E825" s="53">
        <v>219229.65</v>
      </c>
      <c r="F825" s="53">
        <v>7457365.8899999969</v>
      </c>
      <c r="G825" s="578">
        <f t="shared" si="113"/>
        <v>7736984.8499999968</v>
      </c>
      <c r="H825" s="41"/>
      <c r="I825" s="41"/>
      <c r="J825" s="41"/>
      <c r="K825" s="41">
        <f t="shared" si="115"/>
        <v>60389.310000000005</v>
      </c>
      <c r="L825" s="41">
        <f t="shared" si="116"/>
        <v>219229.65</v>
      </c>
      <c r="M825" s="41">
        <f t="shared" si="117"/>
        <v>7457365.8899999969</v>
      </c>
      <c r="N825" s="363">
        <f t="shared" si="114"/>
        <v>0</v>
      </c>
      <c r="O825" s="43" t="s">
        <v>3309</v>
      </c>
      <c r="P825" s="43"/>
      <c r="R825" s="41">
        <f t="shared" si="118"/>
        <v>0</v>
      </c>
      <c r="S825" s="41">
        <f t="shared" si="119"/>
        <v>0</v>
      </c>
      <c r="T825" s="41">
        <f t="shared" si="120"/>
        <v>0</v>
      </c>
      <c r="U825" s="41"/>
      <c r="V825" s="44" t="str">
        <f>IF($P825="High",$S825,IF($P825="Mix",SUMIF('High_Low Voltage Mix Summary'!$B$10:$B$17,$B811,'High_Low Voltage Mix Summary'!$D$10:$D$17),""))</f>
        <v/>
      </c>
      <c r="W825" s="44" t="str">
        <f>IF($P825="Low",$S825,IF($P825="Mix",SUMIF('High_Low Voltage Mix Summary'!$B$10:$B$17,$B811,'High_Low Voltage Mix Summary'!$E$10:$E$17),""))</f>
        <v/>
      </c>
      <c r="X825" s="44" t="str">
        <f>IF($P825="High",$T825,IF($P825="Mix",SUMIF('High_Low Voltage Mix Summary'!$B$10:$B$17,$B811,'High_Low Voltage Mix Summary'!$F$10:$F$17),""))</f>
        <v/>
      </c>
      <c r="Y825" s="44" t="str">
        <f>IF($P825="Low",$T825,IF($P825="Mix",SUMIF('High_Low Voltage Mix Summary'!$B$10:$B$17,$B811,'High_Low Voltage Mix Summary'!$G$10:$G$17),""))</f>
        <v/>
      </c>
      <c r="Z825" s="44" t="str">
        <f>IF(OR($P825="High",$P825="Low"),"",IF($P825="Mix",SUMIF('High_Low Voltage Mix Summary'!$B$10:$B$17,$B811,'High_Low Voltage Mix Summary'!$H$10:$H$17),""))</f>
        <v/>
      </c>
      <c r="AB825" s="49">
        <f>SUMIF('Antelope Bailey Split BA'!$B$7:$B$29,B825,'Antelope Bailey Split BA'!$C$7:$C$29)</f>
        <v>0</v>
      </c>
      <c r="AC825" s="49" t="str">
        <f>IF(AND(AB825=1,'Plant Total by Account'!$H$1=2),"EKWRA","")</f>
        <v/>
      </c>
    </row>
    <row r="826" spans="1:29" x14ac:dyDescent="0.2">
      <c r="A826" s="39" t="s">
        <v>3258</v>
      </c>
      <c r="B826" s="132" t="s">
        <v>952</v>
      </c>
      <c r="C826" s="40" t="s">
        <v>3334</v>
      </c>
      <c r="D826" s="53">
        <v>0</v>
      </c>
      <c r="E826" s="53">
        <v>15163.28</v>
      </c>
      <c r="F826" s="53">
        <v>309807.49</v>
      </c>
      <c r="G826" s="578">
        <f t="shared" si="113"/>
        <v>324970.77</v>
      </c>
      <c r="H826" s="41"/>
      <c r="I826" s="41"/>
      <c r="J826" s="41"/>
      <c r="K826" s="41">
        <f t="shared" si="115"/>
        <v>0</v>
      </c>
      <c r="L826" s="41">
        <f t="shared" si="116"/>
        <v>15163.28</v>
      </c>
      <c r="M826" s="41">
        <f t="shared" si="117"/>
        <v>309807.49</v>
      </c>
      <c r="N826" s="363">
        <f t="shared" si="114"/>
        <v>0</v>
      </c>
      <c r="O826" s="43" t="s">
        <v>3309</v>
      </c>
      <c r="P826" s="43"/>
      <c r="R826" s="41">
        <f t="shared" si="118"/>
        <v>0</v>
      </c>
      <c r="S826" s="41">
        <f t="shared" si="119"/>
        <v>0</v>
      </c>
      <c r="T826" s="41">
        <f t="shared" si="120"/>
        <v>0</v>
      </c>
      <c r="U826" s="41"/>
      <c r="V826" s="44" t="str">
        <f>IF($P826="High",$S826,IF($P826="Mix",SUMIF('High_Low Voltage Mix Summary'!$B$10:$B$17,$B14,'High_Low Voltage Mix Summary'!$D$10:$D$17),""))</f>
        <v/>
      </c>
      <c r="W826" s="44" t="str">
        <f>IF($P826="Low",$S826,IF($P826="Mix",SUMIF('High_Low Voltage Mix Summary'!$B$10:$B$17,$B14,'High_Low Voltage Mix Summary'!$E$10:$E$17),""))</f>
        <v/>
      </c>
      <c r="X826" s="44" t="str">
        <f>IF($P826="High",$T826,IF($P826="Mix",SUMIF('High_Low Voltage Mix Summary'!$B$10:$B$17,$B14,'High_Low Voltage Mix Summary'!$F$10:$F$17),""))</f>
        <v/>
      </c>
      <c r="Y826" s="44" t="str">
        <f>IF($P826="Low",$T826,IF($P826="Mix",SUMIF('High_Low Voltage Mix Summary'!$B$10:$B$17,$B14,'High_Low Voltage Mix Summary'!$G$10:$G$17),""))</f>
        <v/>
      </c>
      <c r="Z826" s="44" t="str">
        <f>IF(OR($P826="High",$P826="Low"),"",IF($P826="Mix",SUMIF('High_Low Voltage Mix Summary'!$B$10:$B$17,$B14,'High_Low Voltage Mix Summary'!$H$10:$H$17),""))</f>
        <v/>
      </c>
      <c r="AB826" s="49">
        <f>SUMIF('Antelope Bailey Split BA'!$B$7:$B$29,B826,'Antelope Bailey Split BA'!$C$7:$C$29)</f>
        <v>0</v>
      </c>
      <c r="AC826" s="49" t="str">
        <f>IF(AND(AB826=1,'Plant Total by Account'!$H$1=2),"EKWRA","")</f>
        <v/>
      </c>
    </row>
    <row r="827" spans="1:29" x14ac:dyDescent="0.2">
      <c r="A827" s="39" t="s">
        <v>3259</v>
      </c>
      <c r="B827" s="132" t="s">
        <v>953</v>
      </c>
      <c r="C827" s="40" t="s">
        <v>3334</v>
      </c>
      <c r="D827" s="53">
        <v>0</v>
      </c>
      <c r="E827" s="53">
        <v>17703.25</v>
      </c>
      <c r="F827" s="53">
        <v>126572.24</v>
      </c>
      <c r="G827" s="578">
        <f t="shared" si="113"/>
        <v>144275.49</v>
      </c>
      <c r="H827" s="41"/>
      <c r="I827" s="41"/>
      <c r="J827" s="41"/>
      <c r="K827" s="41">
        <f t="shared" si="115"/>
        <v>0</v>
      </c>
      <c r="L827" s="41">
        <f t="shared" si="116"/>
        <v>17703.25</v>
      </c>
      <c r="M827" s="41">
        <f t="shared" si="117"/>
        <v>126572.24</v>
      </c>
      <c r="N827" s="363">
        <f t="shared" si="114"/>
        <v>0</v>
      </c>
      <c r="O827" s="43" t="s">
        <v>3309</v>
      </c>
      <c r="P827" s="43"/>
      <c r="R827" s="41">
        <f t="shared" si="118"/>
        <v>0</v>
      </c>
      <c r="S827" s="41">
        <f t="shared" si="119"/>
        <v>0</v>
      </c>
      <c r="T827" s="41">
        <f t="shared" si="120"/>
        <v>0</v>
      </c>
      <c r="U827" s="41"/>
      <c r="V827" s="44" t="str">
        <f>IF($P827="High",$S827,IF($P827="Mix",SUMIF('High_Low Voltage Mix Summary'!$B$10:$B$17,$B812,'High_Low Voltage Mix Summary'!$D$10:$D$17),""))</f>
        <v/>
      </c>
      <c r="W827" s="44" t="str">
        <f>IF($P827="Low",$S827,IF($P827="Mix",SUMIF('High_Low Voltage Mix Summary'!$B$10:$B$17,$B812,'High_Low Voltage Mix Summary'!$E$10:$E$17),""))</f>
        <v/>
      </c>
      <c r="X827" s="44" t="str">
        <f>IF($P827="High",$T827,IF($P827="Mix",SUMIF('High_Low Voltage Mix Summary'!$B$10:$B$17,$B812,'High_Low Voltage Mix Summary'!$F$10:$F$17),""))</f>
        <v/>
      </c>
      <c r="Y827" s="44" t="str">
        <f>IF($P827="Low",$T827,IF($P827="Mix",SUMIF('High_Low Voltage Mix Summary'!$B$10:$B$17,$B812,'High_Low Voltage Mix Summary'!$G$10:$G$17),""))</f>
        <v/>
      </c>
      <c r="Z827" s="44" t="str">
        <f>IF(OR($P827="High",$P827="Low"),"",IF($P827="Mix",SUMIF('High_Low Voltage Mix Summary'!$B$10:$B$17,$B812,'High_Low Voltage Mix Summary'!$H$10:$H$17),""))</f>
        <v/>
      </c>
      <c r="AB827" s="49">
        <f>SUMIF('Antelope Bailey Split BA'!$B$7:$B$29,B827,'Antelope Bailey Split BA'!$C$7:$C$29)</f>
        <v>0</v>
      </c>
      <c r="AC827" s="49" t="str">
        <f>IF(AND(AB827=1,'Plant Total by Account'!$H$1=2),"EKWRA","")</f>
        <v/>
      </c>
    </row>
    <row r="828" spans="1:29" x14ac:dyDescent="0.2">
      <c r="A828" s="39" t="s">
        <v>3260</v>
      </c>
      <c r="B828" s="132" t="s">
        <v>954</v>
      </c>
      <c r="C828" s="40" t="s">
        <v>3334</v>
      </c>
      <c r="D828" s="53">
        <v>0</v>
      </c>
      <c r="E828" s="53">
        <v>32070.51</v>
      </c>
      <c r="F828" s="53">
        <v>3254323.4900000021</v>
      </c>
      <c r="G828" s="578">
        <f t="shared" si="113"/>
        <v>3286394.0000000019</v>
      </c>
      <c r="H828" s="41"/>
      <c r="I828" s="41"/>
      <c r="J828" s="41"/>
      <c r="K828" s="41">
        <f t="shared" si="115"/>
        <v>0</v>
      </c>
      <c r="L828" s="41">
        <f t="shared" si="116"/>
        <v>32070.51</v>
      </c>
      <c r="M828" s="41">
        <f t="shared" si="117"/>
        <v>3254323.4900000021</v>
      </c>
      <c r="N828" s="363">
        <f t="shared" si="114"/>
        <v>0</v>
      </c>
      <c r="O828" s="43" t="s">
        <v>3309</v>
      </c>
      <c r="P828" s="43"/>
      <c r="R828" s="41">
        <f t="shared" si="118"/>
        <v>0</v>
      </c>
      <c r="S828" s="41">
        <f t="shared" si="119"/>
        <v>0</v>
      </c>
      <c r="T828" s="41">
        <f t="shared" si="120"/>
        <v>0</v>
      </c>
      <c r="U828" s="41"/>
      <c r="V828" s="44" t="str">
        <f>IF($P828="High",$S828,IF($P828="Mix",SUMIF('High_Low Voltage Mix Summary'!$B$10:$B$17,$B813,'High_Low Voltage Mix Summary'!$D$10:$D$17),""))</f>
        <v/>
      </c>
      <c r="W828" s="44" t="str">
        <f>IF($P828="Low",$S828,IF($P828="Mix",SUMIF('High_Low Voltage Mix Summary'!$B$10:$B$17,$B813,'High_Low Voltage Mix Summary'!$E$10:$E$17),""))</f>
        <v/>
      </c>
      <c r="X828" s="44" t="str">
        <f>IF($P828="High",$T828,IF($P828="Mix",SUMIF('High_Low Voltage Mix Summary'!$B$10:$B$17,$B813,'High_Low Voltage Mix Summary'!$F$10:$F$17),""))</f>
        <v/>
      </c>
      <c r="Y828" s="44" t="str">
        <f>IF($P828="Low",$T828,IF($P828="Mix",SUMIF('High_Low Voltage Mix Summary'!$B$10:$B$17,$B813,'High_Low Voltage Mix Summary'!$G$10:$G$17),""))</f>
        <v/>
      </c>
      <c r="Z828" s="44" t="str">
        <f>IF(OR($P828="High",$P828="Low"),"",IF($P828="Mix",SUMIF('High_Low Voltage Mix Summary'!$B$10:$B$17,$B813,'High_Low Voltage Mix Summary'!$H$10:$H$17),""))</f>
        <v/>
      </c>
      <c r="AB828" s="49">
        <f>SUMIF('Antelope Bailey Split BA'!$B$7:$B$29,B828,'Antelope Bailey Split BA'!$C$7:$C$29)</f>
        <v>0</v>
      </c>
      <c r="AC828" s="49" t="str">
        <f>IF(AND(AB828=1,'Plant Total by Account'!$H$1=2),"EKWRA","")</f>
        <v/>
      </c>
    </row>
    <row r="829" spans="1:29" x14ac:dyDescent="0.2">
      <c r="A829" s="39" t="s">
        <v>2606</v>
      </c>
      <c r="B829" s="132" t="s">
        <v>955</v>
      </c>
      <c r="C829" s="40" t="s">
        <v>3334</v>
      </c>
      <c r="D829" s="53">
        <v>12955.66</v>
      </c>
      <c r="E829" s="53">
        <v>782016.91999999981</v>
      </c>
      <c r="F829" s="53">
        <v>8711978.1199999955</v>
      </c>
      <c r="G829" s="578">
        <f t="shared" si="113"/>
        <v>9506950.6999999955</v>
      </c>
      <c r="H829" s="41"/>
      <c r="I829" s="41"/>
      <c r="J829" s="41"/>
      <c r="K829" s="41">
        <f t="shared" si="115"/>
        <v>12955.66</v>
      </c>
      <c r="L829" s="41">
        <f t="shared" si="116"/>
        <v>782016.91999999981</v>
      </c>
      <c r="M829" s="41">
        <f t="shared" si="117"/>
        <v>8711978.1199999955</v>
      </c>
      <c r="N829" s="363">
        <f t="shared" si="114"/>
        <v>0</v>
      </c>
      <c r="O829" s="43" t="s">
        <v>3309</v>
      </c>
      <c r="P829" s="43"/>
      <c r="R829" s="41">
        <f t="shared" si="118"/>
        <v>0</v>
      </c>
      <c r="S829" s="41">
        <f t="shared" si="119"/>
        <v>0</v>
      </c>
      <c r="T829" s="41">
        <f t="shared" si="120"/>
        <v>0</v>
      </c>
      <c r="U829" s="41"/>
      <c r="V829" s="44" t="str">
        <f>IF($P829="High",$S829,IF($P829="Mix",SUMIF('High_Low Voltage Mix Summary'!$B$10:$B$17,$B814,'High_Low Voltage Mix Summary'!$D$10:$D$17),""))</f>
        <v/>
      </c>
      <c r="W829" s="44" t="str">
        <f>IF($P829="Low",$S829,IF($P829="Mix",SUMIF('High_Low Voltage Mix Summary'!$B$10:$B$17,$B814,'High_Low Voltage Mix Summary'!$E$10:$E$17),""))</f>
        <v/>
      </c>
      <c r="X829" s="44" t="str">
        <f>IF($P829="High",$T829,IF($P829="Mix",SUMIF('High_Low Voltage Mix Summary'!$B$10:$B$17,$B814,'High_Low Voltage Mix Summary'!$F$10:$F$17),""))</f>
        <v/>
      </c>
      <c r="Y829" s="44" t="str">
        <f>IF($P829="Low",$T829,IF($P829="Mix",SUMIF('High_Low Voltage Mix Summary'!$B$10:$B$17,$B814,'High_Low Voltage Mix Summary'!$G$10:$G$17),""))</f>
        <v/>
      </c>
      <c r="Z829" s="44" t="str">
        <f>IF(OR($P829="High",$P829="Low"),"",IF($P829="Mix",SUMIF('High_Low Voltage Mix Summary'!$B$10:$B$17,$B814,'High_Low Voltage Mix Summary'!$H$10:$H$17),""))</f>
        <v/>
      </c>
      <c r="AB829" s="49">
        <f>SUMIF('Antelope Bailey Split BA'!$B$7:$B$29,B829,'Antelope Bailey Split BA'!$C$7:$C$29)</f>
        <v>0</v>
      </c>
      <c r="AC829" s="49" t="str">
        <f>IF(AND(AB829=1,'Plant Total by Account'!$H$1=2),"EKWRA","")</f>
        <v/>
      </c>
    </row>
    <row r="830" spans="1:29" x14ac:dyDescent="0.2">
      <c r="A830" s="39" t="s">
        <v>3261</v>
      </c>
      <c r="B830" s="132" t="s">
        <v>956</v>
      </c>
      <c r="C830" s="40" t="s">
        <v>3334</v>
      </c>
      <c r="D830" s="53">
        <v>0</v>
      </c>
      <c r="E830" s="53">
        <v>21202.050000000003</v>
      </c>
      <c r="F830" s="53">
        <v>492492.08</v>
      </c>
      <c r="G830" s="578">
        <f t="shared" si="113"/>
        <v>513694.13</v>
      </c>
      <c r="H830" s="41"/>
      <c r="I830" s="41"/>
      <c r="J830" s="41"/>
      <c r="K830" s="41">
        <f t="shared" si="115"/>
        <v>0</v>
      </c>
      <c r="L830" s="41">
        <f t="shared" si="116"/>
        <v>21202.050000000003</v>
      </c>
      <c r="M830" s="41">
        <f t="shared" si="117"/>
        <v>492492.08</v>
      </c>
      <c r="N830" s="363">
        <f t="shared" si="114"/>
        <v>0</v>
      </c>
      <c r="O830" s="43" t="s">
        <v>3309</v>
      </c>
      <c r="P830" s="43"/>
      <c r="R830" s="41">
        <f t="shared" si="118"/>
        <v>0</v>
      </c>
      <c r="S830" s="41">
        <f t="shared" si="119"/>
        <v>0</v>
      </c>
      <c r="T830" s="41">
        <f t="shared" si="120"/>
        <v>0</v>
      </c>
      <c r="U830" s="41"/>
      <c r="V830" s="44" t="str">
        <f>IF($P830="High",$S830,IF($P830="Mix",SUMIF('High_Low Voltage Mix Summary'!$B$10:$B$17,$B815,'High_Low Voltage Mix Summary'!$D$10:$D$17),""))</f>
        <v/>
      </c>
      <c r="W830" s="44" t="str">
        <f>IF($P830="Low",$S830,IF($P830="Mix",SUMIF('High_Low Voltage Mix Summary'!$B$10:$B$17,$B815,'High_Low Voltage Mix Summary'!$E$10:$E$17),""))</f>
        <v/>
      </c>
      <c r="X830" s="44" t="str">
        <f>IF($P830="High",$T830,IF($P830="Mix",SUMIF('High_Low Voltage Mix Summary'!$B$10:$B$17,$B815,'High_Low Voltage Mix Summary'!$F$10:$F$17),""))</f>
        <v/>
      </c>
      <c r="Y830" s="44" t="str">
        <f>IF($P830="Low",$T830,IF($P830="Mix",SUMIF('High_Low Voltage Mix Summary'!$B$10:$B$17,$B815,'High_Low Voltage Mix Summary'!$G$10:$G$17),""))</f>
        <v/>
      </c>
      <c r="Z830" s="44" t="str">
        <f>IF(OR($P830="High",$P830="Low"),"",IF($P830="Mix",SUMIF('High_Low Voltage Mix Summary'!$B$10:$B$17,$B815,'High_Low Voltage Mix Summary'!$H$10:$H$17),""))</f>
        <v/>
      </c>
      <c r="AB830" s="49">
        <f>SUMIF('Antelope Bailey Split BA'!$B$7:$B$29,B830,'Antelope Bailey Split BA'!$C$7:$C$29)</f>
        <v>0</v>
      </c>
      <c r="AC830" s="49" t="str">
        <f>IF(AND(AB830=1,'Plant Total by Account'!$H$1=2),"EKWRA","")</f>
        <v/>
      </c>
    </row>
    <row r="831" spans="1:29" x14ac:dyDescent="0.2">
      <c r="A831" s="39" t="s">
        <v>3262</v>
      </c>
      <c r="B831" s="132" t="s">
        <v>957</v>
      </c>
      <c r="C831" s="40" t="s">
        <v>3334</v>
      </c>
      <c r="D831" s="53">
        <v>191.86</v>
      </c>
      <c r="E831" s="53">
        <v>3899.54</v>
      </c>
      <c r="F831" s="53">
        <v>102233.79000000001</v>
      </c>
      <c r="G831" s="578">
        <f t="shared" si="113"/>
        <v>106325.19</v>
      </c>
      <c r="H831" s="41"/>
      <c r="I831" s="41"/>
      <c r="J831" s="41"/>
      <c r="K831" s="41">
        <f t="shared" si="115"/>
        <v>191.86</v>
      </c>
      <c r="L831" s="41">
        <f t="shared" si="116"/>
        <v>3899.54</v>
      </c>
      <c r="M831" s="41">
        <f t="shared" si="117"/>
        <v>102233.79000000001</v>
      </c>
      <c r="N831" s="363">
        <f t="shared" si="114"/>
        <v>0</v>
      </c>
      <c r="O831" s="43" t="s">
        <v>3309</v>
      </c>
      <c r="P831" s="43"/>
      <c r="R831" s="41">
        <f t="shared" si="118"/>
        <v>0</v>
      </c>
      <c r="S831" s="41">
        <f t="shared" si="119"/>
        <v>0</v>
      </c>
      <c r="T831" s="41">
        <f t="shared" si="120"/>
        <v>0</v>
      </c>
      <c r="U831" s="41"/>
      <c r="V831" s="44" t="str">
        <f>IF($P831="High",$S831,IF($P831="Mix",SUMIF('High_Low Voltage Mix Summary'!$B$10:$B$17,$B816,'High_Low Voltage Mix Summary'!$D$10:$D$17),""))</f>
        <v/>
      </c>
      <c r="W831" s="44" t="str">
        <f>IF($P831="Low",$S831,IF($P831="Mix",SUMIF('High_Low Voltage Mix Summary'!$B$10:$B$17,$B816,'High_Low Voltage Mix Summary'!$E$10:$E$17),""))</f>
        <v/>
      </c>
      <c r="X831" s="44" t="str">
        <f>IF($P831="High",$T831,IF($P831="Mix",SUMIF('High_Low Voltage Mix Summary'!$B$10:$B$17,$B816,'High_Low Voltage Mix Summary'!$F$10:$F$17),""))</f>
        <v/>
      </c>
      <c r="Y831" s="44" t="str">
        <f>IF($P831="Low",$T831,IF($P831="Mix",SUMIF('High_Low Voltage Mix Summary'!$B$10:$B$17,$B816,'High_Low Voltage Mix Summary'!$G$10:$G$17),""))</f>
        <v/>
      </c>
      <c r="Z831" s="44" t="str">
        <f>IF(OR($P831="High",$P831="Low"),"",IF($P831="Mix",SUMIF('High_Low Voltage Mix Summary'!$B$10:$B$17,$B816,'High_Low Voltage Mix Summary'!$H$10:$H$17),""))</f>
        <v/>
      </c>
      <c r="AB831" s="49">
        <f>SUMIF('Antelope Bailey Split BA'!$B$7:$B$29,B831,'Antelope Bailey Split BA'!$C$7:$C$29)</f>
        <v>0</v>
      </c>
      <c r="AC831" s="49" t="str">
        <f>IF(AND(AB831=1,'Plant Total by Account'!$H$1=2),"EKWRA","")</f>
        <v/>
      </c>
    </row>
    <row r="832" spans="1:29" x14ac:dyDescent="0.2">
      <c r="A832" s="39" t="s">
        <v>3263</v>
      </c>
      <c r="B832" s="132" t="s">
        <v>958</v>
      </c>
      <c r="C832" s="40" t="s">
        <v>3334</v>
      </c>
      <c r="D832" s="53">
        <v>0</v>
      </c>
      <c r="E832" s="53">
        <v>6771.37</v>
      </c>
      <c r="F832" s="53">
        <v>242457.83999999997</v>
      </c>
      <c r="G832" s="578">
        <f t="shared" si="113"/>
        <v>249229.20999999996</v>
      </c>
      <c r="H832" s="41"/>
      <c r="I832" s="41"/>
      <c r="J832" s="41"/>
      <c r="K832" s="41">
        <f t="shared" si="115"/>
        <v>0</v>
      </c>
      <c r="L832" s="41">
        <f t="shared" si="116"/>
        <v>6771.37</v>
      </c>
      <c r="M832" s="41">
        <f t="shared" si="117"/>
        <v>242457.83999999997</v>
      </c>
      <c r="N832" s="363">
        <f t="shared" si="114"/>
        <v>0</v>
      </c>
      <c r="O832" s="43" t="s">
        <v>3309</v>
      </c>
      <c r="P832" s="43"/>
      <c r="R832" s="41">
        <f t="shared" si="118"/>
        <v>0</v>
      </c>
      <c r="S832" s="41">
        <f t="shared" si="119"/>
        <v>0</v>
      </c>
      <c r="T832" s="41">
        <f t="shared" si="120"/>
        <v>0</v>
      </c>
      <c r="U832" s="41"/>
      <c r="V832" s="44" t="str">
        <f>IF($P832="High",$S832,IF($P832="Mix",SUMIF('High_Low Voltage Mix Summary'!$B$10:$B$17,$B817,'High_Low Voltage Mix Summary'!$D$10:$D$17),""))</f>
        <v/>
      </c>
      <c r="W832" s="44" t="str">
        <f>IF($P832="Low",$S832,IF($P832="Mix",SUMIF('High_Low Voltage Mix Summary'!$B$10:$B$17,$B817,'High_Low Voltage Mix Summary'!$E$10:$E$17),""))</f>
        <v/>
      </c>
      <c r="X832" s="44" t="str">
        <f>IF($P832="High",$T832,IF($P832="Mix",SUMIF('High_Low Voltage Mix Summary'!$B$10:$B$17,$B817,'High_Low Voltage Mix Summary'!$F$10:$F$17),""))</f>
        <v/>
      </c>
      <c r="Y832" s="44" t="str">
        <f>IF($P832="Low",$T832,IF($P832="Mix",SUMIF('High_Low Voltage Mix Summary'!$B$10:$B$17,$B817,'High_Low Voltage Mix Summary'!$G$10:$G$17),""))</f>
        <v/>
      </c>
      <c r="Z832" s="44" t="str">
        <f>IF(OR($P832="High",$P832="Low"),"",IF($P832="Mix",SUMIF('High_Low Voltage Mix Summary'!$B$10:$B$17,$B817,'High_Low Voltage Mix Summary'!$H$10:$H$17),""))</f>
        <v/>
      </c>
      <c r="AB832" s="49">
        <f>SUMIF('Antelope Bailey Split BA'!$B$7:$B$29,B832,'Antelope Bailey Split BA'!$C$7:$C$29)</f>
        <v>0</v>
      </c>
      <c r="AC832" s="49" t="str">
        <f>IF(AND(AB832=1,'Plant Total by Account'!$H$1=2),"EKWRA","")</f>
        <v/>
      </c>
    </row>
    <row r="833" spans="1:29" x14ac:dyDescent="0.2">
      <c r="A833" s="39" t="s">
        <v>3264</v>
      </c>
      <c r="B833" s="132" t="s">
        <v>959</v>
      </c>
      <c r="C833" s="40" t="s">
        <v>3334</v>
      </c>
      <c r="D833" s="53">
        <v>6049.5599999999995</v>
      </c>
      <c r="E833" s="53">
        <v>7562.73</v>
      </c>
      <c r="F833" s="53">
        <v>610579.21</v>
      </c>
      <c r="G833" s="578">
        <f t="shared" si="113"/>
        <v>624191.5</v>
      </c>
      <c r="H833" s="41"/>
      <c r="I833" s="41"/>
      <c r="J833" s="41"/>
      <c r="K833" s="41">
        <f t="shared" si="115"/>
        <v>6049.5599999999995</v>
      </c>
      <c r="L833" s="41">
        <f t="shared" si="116"/>
        <v>7562.73</v>
      </c>
      <c r="M833" s="41">
        <f t="shared" si="117"/>
        <v>610579.21</v>
      </c>
      <c r="N833" s="363">
        <f t="shared" si="114"/>
        <v>0</v>
      </c>
      <c r="O833" s="43" t="s">
        <v>3309</v>
      </c>
      <c r="P833" s="43"/>
      <c r="R833" s="41">
        <f t="shared" si="118"/>
        <v>0</v>
      </c>
      <c r="S833" s="41">
        <f t="shared" si="119"/>
        <v>0</v>
      </c>
      <c r="T833" s="41">
        <f t="shared" si="120"/>
        <v>0</v>
      </c>
      <c r="U833" s="41"/>
      <c r="V833" s="44" t="str">
        <f>IF($P833="High",$S833,IF($P833="Mix",SUMIF('High_Low Voltage Mix Summary'!$B$10:$B$17,$B818,'High_Low Voltage Mix Summary'!$D$10:$D$17),""))</f>
        <v/>
      </c>
      <c r="W833" s="44" t="str">
        <f>IF($P833="Low",$S833,IF($P833="Mix",SUMIF('High_Low Voltage Mix Summary'!$B$10:$B$17,$B818,'High_Low Voltage Mix Summary'!$E$10:$E$17),""))</f>
        <v/>
      </c>
      <c r="X833" s="44" t="str">
        <f>IF($P833="High",$T833,IF($P833="Mix",SUMIF('High_Low Voltage Mix Summary'!$B$10:$B$17,$B818,'High_Low Voltage Mix Summary'!$F$10:$F$17),""))</f>
        <v/>
      </c>
      <c r="Y833" s="44" t="str">
        <f>IF($P833="Low",$T833,IF($P833="Mix",SUMIF('High_Low Voltage Mix Summary'!$B$10:$B$17,$B818,'High_Low Voltage Mix Summary'!$G$10:$G$17),""))</f>
        <v/>
      </c>
      <c r="Z833" s="44" t="str">
        <f>IF(OR($P833="High",$P833="Low"),"",IF($P833="Mix",SUMIF('High_Low Voltage Mix Summary'!$B$10:$B$17,$B818,'High_Low Voltage Mix Summary'!$H$10:$H$17),""))</f>
        <v/>
      </c>
      <c r="AB833" s="49">
        <f>SUMIF('Antelope Bailey Split BA'!$B$7:$B$29,B833,'Antelope Bailey Split BA'!$C$7:$C$29)</f>
        <v>0</v>
      </c>
      <c r="AC833" s="49" t="str">
        <f>IF(AND(AB833=1,'Plant Total by Account'!$H$1=2),"EKWRA","")</f>
        <v/>
      </c>
    </row>
    <row r="834" spans="1:29" x14ac:dyDescent="0.2">
      <c r="A834" s="39" t="s">
        <v>3265</v>
      </c>
      <c r="B834" s="132" t="s">
        <v>960</v>
      </c>
      <c r="C834" s="40" t="s">
        <v>3334</v>
      </c>
      <c r="D834" s="53">
        <v>10270.56</v>
      </c>
      <c r="E834" s="53">
        <v>2311.84</v>
      </c>
      <c r="F834" s="53">
        <v>579856.04</v>
      </c>
      <c r="G834" s="578">
        <f t="shared" si="113"/>
        <v>592438.44000000006</v>
      </c>
      <c r="H834" s="41"/>
      <c r="I834" s="41"/>
      <c r="J834" s="41"/>
      <c r="K834" s="41">
        <f t="shared" si="115"/>
        <v>10270.56</v>
      </c>
      <c r="L834" s="41">
        <f t="shared" si="116"/>
        <v>2311.84</v>
      </c>
      <c r="M834" s="41">
        <f t="shared" si="117"/>
        <v>579856.04</v>
      </c>
      <c r="N834" s="363">
        <f t="shared" si="114"/>
        <v>0</v>
      </c>
      <c r="O834" s="43" t="s">
        <v>3309</v>
      </c>
      <c r="P834" s="43"/>
      <c r="R834" s="41">
        <f t="shared" si="118"/>
        <v>0</v>
      </c>
      <c r="S834" s="41">
        <f t="shared" si="119"/>
        <v>0</v>
      </c>
      <c r="T834" s="41">
        <f t="shared" si="120"/>
        <v>0</v>
      </c>
      <c r="U834" s="41"/>
      <c r="V834" s="44" t="str">
        <f>IF($P834="High",$S834,IF($P834="Mix",SUMIF('High_Low Voltage Mix Summary'!$B$10:$B$17,$B819,'High_Low Voltage Mix Summary'!$D$10:$D$17),""))</f>
        <v/>
      </c>
      <c r="W834" s="44" t="str">
        <f>IF($P834="Low",$S834,IF($P834="Mix",SUMIF('High_Low Voltage Mix Summary'!$B$10:$B$17,$B819,'High_Low Voltage Mix Summary'!$E$10:$E$17),""))</f>
        <v/>
      </c>
      <c r="X834" s="44" t="str">
        <f>IF($P834="High",$T834,IF($P834="Mix",SUMIF('High_Low Voltage Mix Summary'!$B$10:$B$17,$B819,'High_Low Voltage Mix Summary'!$F$10:$F$17),""))</f>
        <v/>
      </c>
      <c r="Y834" s="44" t="str">
        <f>IF($P834="Low",$T834,IF($P834="Mix",SUMIF('High_Low Voltage Mix Summary'!$B$10:$B$17,$B819,'High_Low Voltage Mix Summary'!$G$10:$G$17),""))</f>
        <v/>
      </c>
      <c r="Z834" s="44" t="str">
        <f>IF(OR($P834="High",$P834="Low"),"",IF($P834="Mix",SUMIF('High_Low Voltage Mix Summary'!$B$10:$B$17,$B819,'High_Low Voltage Mix Summary'!$H$10:$H$17),""))</f>
        <v/>
      </c>
      <c r="AB834" s="49">
        <f>SUMIF('Antelope Bailey Split BA'!$B$7:$B$29,B834,'Antelope Bailey Split BA'!$C$7:$C$29)</f>
        <v>0</v>
      </c>
      <c r="AC834" s="49" t="str">
        <f>IF(AND(AB834=1,'Plant Total by Account'!$H$1=2),"EKWRA","")</f>
        <v/>
      </c>
    </row>
    <row r="835" spans="1:29" x14ac:dyDescent="0.2">
      <c r="A835" s="39" t="s">
        <v>3266</v>
      </c>
      <c r="B835" s="132" t="s">
        <v>961</v>
      </c>
      <c r="C835" s="40" t="s">
        <v>3334</v>
      </c>
      <c r="D835" s="53">
        <v>0</v>
      </c>
      <c r="E835" s="53">
        <v>7130.68</v>
      </c>
      <c r="F835" s="53">
        <v>616456.30000000028</v>
      </c>
      <c r="G835" s="578">
        <f t="shared" si="113"/>
        <v>623586.98000000033</v>
      </c>
      <c r="H835" s="41"/>
      <c r="I835" s="41"/>
      <c r="J835" s="41"/>
      <c r="K835" s="41">
        <f t="shared" si="115"/>
        <v>0</v>
      </c>
      <c r="L835" s="41">
        <f t="shared" si="116"/>
        <v>7130.68</v>
      </c>
      <c r="M835" s="41">
        <f t="shared" si="117"/>
        <v>616456.30000000028</v>
      </c>
      <c r="N835" s="363">
        <f t="shared" si="114"/>
        <v>0</v>
      </c>
      <c r="O835" s="43" t="s">
        <v>3309</v>
      </c>
      <c r="P835" s="43"/>
      <c r="R835" s="41">
        <f t="shared" si="118"/>
        <v>0</v>
      </c>
      <c r="S835" s="41">
        <f t="shared" si="119"/>
        <v>0</v>
      </c>
      <c r="T835" s="41">
        <f t="shared" si="120"/>
        <v>0</v>
      </c>
      <c r="U835" s="41"/>
      <c r="V835" s="44" t="str">
        <f>IF($P835="High",$S835,IF($P835="Mix",SUMIF('High_Low Voltage Mix Summary'!$B$10:$B$17,$B820,'High_Low Voltage Mix Summary'!$D$10:$D$17),""))</f>
        <v/>
      </c>
      <c r="W835" s="44" t="str">
        <f>IF($P835="Low",$S835,IF($P835="Mix",SUMIF('High_Low Voltage Mix Summary'!$B$10:$B$17,$B820,'High_Low Voltage Mix Summary'!$E$10:$E$17),""))</f>
        <v/>
      </c>
      <c r="X835" s="44" t="str">
        <f>IF($P835="High",$T835,IF($P835="Mix",SUMIF('High_Low Voltage Mix Summary'!$B$10:$B$17,$B820,'High_Low Voltage Mix Summary'!$F$10:$F$17),""))</f>
        <v/>
      </c>
      <c r="Y835" s="44" t="str">
        <f>IF($P835="Low",$T835,IF($P835="Mix",SUMIF('High_Low Voltage Mix Summary'!$B$10:$B$17,$B820,'High_Low Voltage Mix Summary'!$G$10:$G$17),""))</f>
        <v/>
      </c>
      <c r="Z835" s="44" t="str">
        <f>IF(OR($P835="High",$P835="Low"),"",IF($P835="Mix",SUMIF('High_Low Voltage Mix Summary'!$B$10:$B$17,$B820,'High_Low Voltage Mix Summary'!$H$10:$H$17),""))</f>
        <v/>
      </c>
      <c r="AB835" s="49">
        <f>SUMIF('Antelope Bailey Split BA'!$B$7:$B$29,B835,'Antelope Bailey Split BA'!$C$7:$C$29)</f>
        <v>0</v>
      </c>
      <c r="AC835" s="49" t="str">
        <f>IF(AND(AB835=1,'Plant Total by Account'!$H$1=2),"EKWRA","")</f>
        <v/>
      </c>
    </row>
    <row r="836" spans="1:29" x14ac:dyDescent="0.2">
      <c r="A836" s="39" t="s">
        <v>3267</v>
      </c>
      <c r="B836" s="132" t="s">
        <v>962</v>
      </c>
      <c r="C836" s="40" t="s">
        <v>3334</v>
      </c>
      <c r="D836" s="53">
        <v>0</v>
      </c>
      <c r="E836" s="53">
        <v>6862.91</v>
      </c>
      <c r="F836" s="53">
        <v>472349.49000000005</v>
      </c>
      <c r="G836" s="578">
        <f t="shared" si="113"/>
        <v>479212.4</v>
      </c>
      <c r="H836" s="41"/>
      <c r="I836" s="41"/>
      <c r="J836" s="41"/>
      <c r="K836" s="41">
        <f t="shared" si="115"/>
        <v>0</v>
      </c>
      <c r="L836" s="41">
        <f t="shared" si="116"/>
        <v>6862.91</v>
      </c>
      <c r="M836" s="41">
        <f t="shared" si="117"/>
        <v>472349.49000000005</v>
      </c>
      <c r="N836" s="363">
        <f t="shared" si="114"/>
        <v>0</v>
      </c>
      <c r="O836" s="43" t="s">
        <v>3309</v>
      </c>
      <c r="P836" s="43"/>
      <c r="R836" s="41">
        <f t="shared" si="118"/>
        <v>0</v>
      </c>
      <c r="S836" s="41">
        <f t="shared" si="119"/>
        <v>0</v>
      </c>
      <c r="T836" s="41">
        <f t="shared" si="120"/>
        <v>0</v>
      </c>
      <c r="U836" s="41"/>
      <c r="V836" s="44" t="str">
        <f>IF($P836="High",$S836,IF($P836="Mix",SUMIF('High_Low Voltage Mix Summary'!$B$10:$B$17,$B821,'High_Low Voltage Mix Summary'!$D$10:$D$17),""))</f>
        <v/>
      </c>
      <c r="W836" s="44" t="str">
        <f>IF($P836="Low",$S836,IF($P836="Mix",SUMIF('High_Low Voltage Mix Summary'!$B$10:$B$17,$B821,'High_Low Voltage Mix Summary'!$E$10:$E$17),""))</f>
        <v/>
      </c>
      <c r="X836" s="44" t="str">
        <f>IF($P836="High",$T836,IF($P836="Mix",SUMIF('High_Low Voltage Mix Summary'!$B$10:$B$17,$B821,'High_Low Voltage Mix Summary'!$F$10:$F$17),""))</f>
        <v/>
      </c>
      <c r="Y836" s="44" t="str">
        <f>IF($P836="Low",$T836,IF($P836="Mix",SUMIF('High_Low Voltage Mix Summary'!$B$10:$B$17,$B821,'High_Low Voltage Mix Summary'!$G$10:$G$17),""))</f>
        <v/>
      </c>
      <c r="Z836" s="44" t="str">
        <f>IF(OR($P836="High",$P836="Low"),"",IF($P836="Mix",SUMIF('High_Low Voltage Mix Summary'!$B$10:$B$17,$B821,'High_Low Voltage Mix Summary'!$H$10:$H$17),""))</f>
        <v/>
      </c>
      <c r="AB836" s="49">
        <f>SUMIF('Antelope Bailey Split BA'!$B$7:$B$29,B836,'Antelope Bailey Split BA'!$C$7:$C$29)</f>
        <v>0</v>
      </c>
      <c r="AC836" s="49" t="str">
        <f>IF(AND(AB836=1,'Plant Total by Account'!$H$1=2),"EKWRA","")</f>
        <v/>
      </c>
    </row>
    <row r="837" spans="1:29" x14ac:dyDescent="0.2">
      <c r="A837" s="39" t="s">
        <v>3268</v>
      </c>
      <c r="B837" s="132" t="s">
        <v>963</v>
      </c>
      <c r="C837" s="40" t="s">
        <v>3334</v>
      </c>
      <c r="D837" s="53">
        <v>9319.27</v>
      </c>
      <c r="E837" s="53">
        <v>1192.9000000000001</v>
      </c>
      <c r="F837" s="53">
        <v>538929.09000000008</v>
      </c>
      <c r="G837" s="578">
        <f t="shared" si="113"/>
        <v>549441.26000000013</v>
      </c>
      <c r="H837" s="41"/>
      <c r="I837" s="41"/>
      <c r="J837" s="41"/>
      <c r="K837" s="41">
        <f t="shared" si="115"/>
        <v>9319.27</v>
      </c>
      <c r="L837" s="41">
        <f t="shared" si="116"/>
        <v>1192.9000000000001</v>
      </c>
      <c r="M837" s="41">
        <f t="shared" si="117"/>
        <v>538929.09000000008</v>
      </c>
      <c r="N837" s="363">
        <f t="shared" si="114"/>
        <v>0</v>
      </c>
      <c r="O837" s="43" t="s">
        <v>3309</v>
      </c>
      <c r="P837" s="43"/>
      <c r="R837" s="41">
        <f t="shared" si="118"/>
        <v>0</v>
      </c>
      <c r="S837" s="41">
        <f t="shared" si="119"/>
        <v>0</v>
      </c>
      <c r="T837" s="41">
        <f t="shared" si="120"/>
        <v>0</v>
      </c>
      <c r="U837" s="41"/>
      <c r="V837" s="44" t="str">
        <f>IF($P837="High",$S837,IF($P837="Mix",SUMIF('High_Low Voltage Mix Summary'!$B$10:$B$17,$B822,'High_Low Voltage Mix Summary'!$D$10:$D$17),""))</f>
        <v/>
      </c>
      <c r="W837" s="44" t="str">
        <f>IF($P837="Low",$S837,IF($P837="Mix",SUMIF('High_Low Voltage Mix Summary'!$B$10:$B$17,$B822,'High_Low Voltage Mix Summary'!$E$10:$E$17),""))</f>
        <v/>
      </c>
      <c r="X837" s="44" t="str">
        <f>IF($P837="High",$T837,IF($P837="Mix",SUMIF('High_Low Voltage Mix Summary'!$B$10:$B$17,$B822,'High_Low Voltage Mix Summary'!$F$10:$F$17),""))</f>
        <v/>
      </c>
      <c r="Y837" s="44" t="str">
        <f>IF($P837="Low",$T837,IF($P837="Mix",SUMIF('High_Low Voltage Mix Summary'!$B$10:$B$17,$B822,'High_Low Voltage Mix Summary'!$G$10:$G$17),""))</f>
        <v/>
      </c>
      <c r="Z837" s="44" t="str">
        <f>IF(OR($P837="High",$P837="Low"),"",IF($P837="Mix",SUMIF('High_Low Voltage Mix Summary'!$B$10:$B$17,$B822,'High_Low Voltage Mix Summary'!$H$10:$H$17),""))</f>
        <v/>
      </c>
      <c r="AB837" s="49">
        <f>SUMIF('Antelope Bailey Split BA'!$B$7:$B$29,B837,'Antelope Bailey Split BA'!$C$7:$C$29)</f>
        <v>0</v>
      </c>
      <c r="AC837" s="49" t="str">
        <f>IF(AND(AB837=1,'Plant Total by Account'!$H$1=2),"EKWRA","")</f>
        <v/>
      </c>
    </row>
    <row r="838" spans="1:29" x14ac:dyDescent="0.2">
      <c r="A838" s="39" t="s">
        <v>3269</v>
      </c>
      <c r="B838" s="132" t="s">
        <v>964</v>
      </c>
      <c r="C838" s="40" t="s">
        <v>3334</v>
      </c>
      <c r="D838" s="53">
        <v>0</v>
      </c>
      <c r="E838" s="53">
        <v>3354.06</v>
      </c>
      <c r="F838" s="53">
        <v>755215.37</v>
      </c>
      <c r="G838" s="578">
        <f t="shared" si="113"/>
        <v>758569.43</v>
      </c>
      <c r="H838" s="41"/>
      <c r="I838" s="41"/>
      <c r="J838" s="41"/>
      <c r="K838" s="41">
        <f t="shared" si="115"/>
        <v>0</v>
      </c>
      <c r="L838" s="41">
        <f t="shared" si="116"/>
        <v>3354.06</v>
      </c>
      <c r="M838" s="41">
        <f t="shared" si="117"/>
        <v>755215.37</v>
      </c>
      <c r="N838" s="363">
        <f t="shared" si="114"/>
        <v>0</v>
      </c>
      <c r="O838" s="43" t="s">
        <v>3309</v>
      </c>
      <c r="P838" s="43"/>
      <c r="R838" s="41">
        <f t="shared" si="118"/>
        <v>0</v>
      </c>
      <c r="S838" s="41">
        <f t="shared" si="119"/>
        <v>0</v>
      </c>
      <c r="T838" s="41">
        <f t="shared" si="120"/>
        <v>0</v>
      </c>
      <c r="U838" s="41"/>
      <c r="V838" s="44" t="str">
        <f>IF($P838="High",$S838,IF($P838="Mix",SUMIF('High_Low Voltage Mix Summary'!$B$10:$B$17,$B823,'High_Low Voltage Mix Summary'!$D$10:$D$17),""))</f>
        <v/>
      </c>
      <c r="W838" s="44" t="str">
        <f>IF($P838="Low",$S838,IF($P838="Mix",SUMIF('High_Low Voltage Mix Summary'!$B$10:$B$17,$B823,'High_Low Voltage Mix Summary'!$E$10:$E$17),""))</f>
        <v/>
      </c>
      <c r="X838" s="44" t="str">
        <f>IF($P838="High",$T838,IF($P838="Mix",SUMIF('High_Low Voltage Mix Summary'!$B$10:$B$17,$B823,'High_Low Voltage Mix Summary'!$F$10:$F$17),""))</f>
        <v/>
      </c>
      <c r="Y838" s="44" t="str">
        <f>IF($P838="Low",$T838,IF($P838="Mix",SUMIF('High_Low Voltage Mix Summary'!$B$10:$B$17,$B823,'High_Low Voltage Mix Summary'!$G$10:$G$17),""))</f>
        <v/>
      </c>
      <c r="Z838" s="44" t="str">
        <f>IF(OR($P838="High",$P838="Low"),"",IF($P838="Mix",SUMIF('High_Low Voltage Mix Summary'!$B$10:$B$17,$B823,'High_Low Voltage Mix Summary'!$H$10:$H$17),""))</f>
        <v/>
      </c>
      <c r="AB838" s="49">
        <f>SUMIF('Antelope Bailey Split BA'!$B$7:$B$29,B838,'Antelope Bailey Split BA'!$C$7:$C$29)</f>
        <v>0</v>
      </c>
      <c r="AC838" s="49" t="str">
        <f>IF(AND(AB838=1,'Plant Total by Account'!$H$1=2),"EKWRA","")</f>
        <v/>
      </c>
    </row>
    <row r="839" spans="1:29" x14ac:dyDescent="0.2">
      <c r="A839" s="39" t="s">
        <v>3270</v>
      </c>
      <c r="B839" s="132" t="s">
        <v>965</v>
      </c>
      <c r="C839" s="40" t="s">
        <v>3334</v>
      </c>
      <c r="D839" s="53">
        <v>14155</v>
      </c>
      <c r="E839" s="53">
        <v>0</v>
      </c>
      <c r="F839" s="53">
        <v>293909.21999999997</v>
      </c>
      <c r="G839" s="578">
        <f t="shared" si="113"/>
        <v>308064.21999999997</v>
      </c>
      <c r="H839" s="41"/>
      <c r="I839" s="41"/>
      <c r="J839" s="41"/>
      <c r="K839" s="41">
        <f t="shared" si="115"/>
        <v>14155</v>
      </c>
      <c r="L839" s="41">
        <f t="shared" si="116"/>
        <v>0</v>
      </c>
      <c r="M839" s="41">
        <f t="shared" si="117"/>
        <v>293909.21999999997</v>
      </c>
      <c r="N839" s="363">
        <f t="shared" si="114"/>
        <v>0</v>
      </c>
      <c r="O839" s="43" t="s">
        <v>3309</v>
      </c>
      <c r="P839" s="43"/>
      <c r="R839" s="41">
        <f t="shared" ref="R839:R848" si="121">SUM(H839:J839)</f>
        <v>0</v>
      </c>
      <c r="S839" s="41">
        <f t="shared" ref="S839:S848" si="122">H839</f>
        <v>0</v>
      </c>
      <c r="T839" s="41">
        <f t="shared" ref="T839:T848" si="123">SUM(I839:J839)</f>
        <v>0</v>
      </c>
      <c r="U839" s="41"/>
      <c r="V839" s="44" t="str">
        <f>IF($P839="High",$S839,IF($P839="Mix",SUMIF('High_Low Voltage Mix Summary'!$B$10:$B$17,$B824,'High_Low Voltage Mix Summary'!$D$10:$D$17),""))</f>
        <v/>
      </c>
      <c r="W839" s="44" t="str">
        <f>IF($P839="Low",$S839,IF($P839="Mix",SUMIF('High_Low Voltage Mix Summary'!$B$10:$B$17,$B824,'High_Low Voltage Mix Summary'!$E$10:$E$17),""))</f>
        <v/>
      </c>
      <c r="X839" s="44" t="str">
        <f>IF($P839="High",$T839,IF($P839="Mix",SUMIF('High_Low Voltage Mix Summary'!$B$10:$B$17,$B824,'High_Low Voltage Mix Summary'!$F$10:$F$17),""))</f>
        <v/>
      </c>
      <c r="Y839" s="44" t="str">
        <f>IF($P839="Low",$T839,IF($P839="Mix",SUMIF('High_Low Voltage Mix Summary'!$B$10:$B$17,$B824,'High_Low Voltage Mix Summary'!$G$10:$G$17),""))</f>
        <v/>
      </c>
      <c r="Z839" s="44" t="str">
        <f>IF(OR($P839="High",$P839="Low"),"",IF($P839="Mix",SUMIF('High_Low Voltage Mix Summary'!$B$10:$B$17,$B824,'High_Low Voltage Mix Summary'!$H$10:$H$17),""))</f>
        <v/>
      </c>
      <c r="AB839" s="49">
        <f>SUMIF('Antelope Bailey Split BA'!$B$7:$B$29,B839,'Antelope Bailey Split BA'!$C$7:$C$29)</f>
        <v>0</v>
      </c>
      <c r="AC839" s="49" t="str">
        <f>IF(AND(AB839=1,'Plant Total by Account'!$H$1=2),"EKWRA","")</f>
        <v/>
      </c>
    </row>
    <row r="840" spans="1:29" x14ac:dyDescent="0.2">
      <c r="A840" s="39" t="s">
        <v>3271</v>
      </c>
      <c r="B840" s="132" t="s">
        <v>966</v>
      </c>
      <c r="C840" s="40" t="s">
        <v>3334</v>
      </c>
      <c r="D840" s="53">
        <v>0</v>
      </c>
      <c r="E840" s="53">
        <v>20622.46</v>
      </c>
      <c r="F840" s="53">
        <v>619944.27</v>
      </c>
      <c r="G840" s="578">
        <f t="shared" si="113"/>
        <v>640566.73</v>
      </c>
      <c r="H840" s="41"/>
      <c r="I840" s="41"/>
      <c r="J840" s="41"/>
      <c r="K840" s="41">
        <f t="shared" si="115"/>
        <v>0</v>
      </c>
      <c r="L840" s="41">
        <f t="shared" si="116"/>
        <v>20622.46</v>
      </c>
      <c r="M840" s="41">
        <f t="shared" si="117"/>
        <v>619944.27</v>
      </c>
      <c r="N840" s="363">
        <f t="shared" si="114"/>
        <v>0</v>
      </c>
      <c r="O840" s="43" t="s">
        <v>3309</v>
      </c>
      <c r="P840" s="43"/>
      <c r="R840" s="41">
        <f t="shared" si="121"/>
        <v>0</v>
      </c>
      <c r="S840" s="41">
        <f t="shared" si="122"/>
        <v>0</v>
      </c>
      <c r="T840" s="41">
        <f t="shared" si="123"/>
        <v>0</v>
      </c>
      <c r="U840" s="41"/>
      <c r="V840" s="44" t="str">
        <f>IF($P840="High",$S840,IF($P840="Mix",SUMIF('High_Low Voltage Mix Summary'!$B$10:$B$17,$B825,'High_Low Voltage Mix Summary'!$D$10:$D$17),""))</f>
        <v/>
      </c>
      <c r="W840" s="44" t="str">
        <f>IF($P840="Low",$S840,IF($P840="Mix",SUMIF('High_Low Voltage Mix Summary'!$B$10:$B$17,$B825,'High_Low Voltage Mix Summary'!$E$10:$E$17),""))</f>
        <v/>
      </c>
      <c r="X840" s="44" t="str">
        <f>IF($P840="High",$T840,IF($P840="Mix",SUMIF('High_Low Voltage Mix Summary'!$B$10:$B$17,$B825,'High_Low Voltage Mix Summary'!$F$10:$F$17),""))</f>
        <v/>
      </c>
      <c r="Y840" s="44" t="str">
        <f>IF($P840="Low",$T840,IF($P840="Mix",SUMIF('High_Low Voltage Mix Summary'!$B$10:$B$17,$B825,'High_Low Voltage Mix Summary'!$G$10:$G$17),""))</f>
        <v/>
      </c>
      <c r="Z840" s="44" t="str">
        <f>IF(OR($P840="High",$P840="Low"),"",IF($P840="Mix",SUMIF('High_Low Voltage Mix Summary'!$B$10:$B$17,$B825,'High_Low Voltage Mix Summary'!$H$10:$H$17),""))</f>
        <v/>
      </c>
      <c r="AB840" s="49">
        <f>SUMIF('Antelope Bailey Split BA'!$B$7:$B$29,B840,'Antelope Bailey Split BA'!$C$7:$C$29)</f>
        <v>0</v>
      </c>
      <c r="AC840" s="49" t="str">
        <f>IF(AND(AB840=1,'Plant Total by Account'!$H$1=2),"EKWRA","")</f>
        <v/>
      </c>
    </row>
    <row r="841" spans="1:29" x14ac:dyDescent="0.2">
      <c r="A841" s="39" t="s">
        <v>3272</v>
      </c>
      <c r="B841" s="132" t="s">
        <v>3273</v>
      </c>
      <c r="C841" s="40" t="s">
        <v>3334</v>
      </c>
      <c r="D841" s="53">
        <v>0</v>
      </c>
      <c r="E841" s="53">
        <v>46765.639999999992</v>
      </c>
      <c r="F841" s="53">
        <v>908919.36000000068</v>
      </c>
      <c r="G841" s="578">
        <f t="shared" ref="G841:G859" si="124">SUM(D841:F841)</f>
        <v>955685.0000000007</v>
      </c>
      <c r="H841" s="41"/>
      <c r="I841" s="41"/>
      <c r="J841" s="41"/>
      <c r="K841" s="41">
        <f t="shared" si="115"/>
        <v>0</v>
      </c>
      <c r="L841" s="41">
        <f t="shared" si="116"/>
        <v>46765.639999999992</v>
      </c>
      <c r="M841" s="41">
        <f t="shared" si="117"/>
        <v>908919.36000000068</v>
      </c>
      <c r="N841" s="363">
        <f t="shared" ref="N841:N860" si="125">G841-SUM(H841:M841)</f>
        <v>0</v>
      </c>
      <c r="O841" s="43" t="s">
        <v>3309</v>
      </c>
      <c r="P841" s="43"/>
      <c r="R841" s="41">
        <f t="shared" si="121"/>
        <v>0</v>
      </c>
      <c r="S841" s="41">
        <f t="shared" si="122"/>
        <v>0</v>
      </c>
      <c r="T841" s="41">
        <f t="shared" si="123"/>
        <v>0</v>
      </c>
      <c r="U841" s="41"/>
      <c r="V841" s="44" t="str">
        <f>IF($P841="High",$S841,IF($P841="Mix",SUMIF('High_Low Voltage Mix Summary'!$B$10:$B$17,$B826,'High_Low Voltage Mix Summary'!$D$10:$D$17),""))</f>
        <v/>
      </c>
      <c r="W841" s="44" t="str">
        <f>IF($P841="Low",$S841,IF($P841="Mix",SUMIF('High_Low Voltage Mix Summary'!$B$10:$B$17,$B826,'High_Low Voltage Mix Summary'!$E$10:$E$17),""))</f>
        <v/>
      </c>
      <c r="X841" s="44" t="str">
        <f>IF($P841="High",$T841,IF($P841="Mix",SUMIF('High_Low Voltage Mix Summary'!$B$10:$B$17,$B826,'High_Low Voltage Mix Summary'!$F$10:$F$17),""))</f>
        <v/>
      </c>
      <c r="Y841" s="44" t="str">
        <f>IF($P841="Low",$T841,IF($P841="Mix",SUMIF('High_Low Voltage Mix Summary'!$B$10:$B$17,$B826,'High_Low Voltage Mix Summary'!$G$10:$G$17),""))</f>
        <v/>
      </c>
      <c r="Z841" s="44" t="str">
        <f>IF(OR($P841="High",$P841="Low"),"",IF($P841="Mix",SUMIF('High_Low Voltage Mix Summary'!$B$10:$B$17,$B826,'High_Low Voltage Mix Summary'!$H$10:$H$17),""))</f>
        <v/>
      </c>
      <c r="AB841" s="49">
        <f>SUMIF('Antelope Bailey Split BA'!$B$7:$B$29,B841,'Antelope Bailey Split BA'!$C$7:$C$29)</f>
        <v>0</v>
      </c>
      <c r="AC841" s="49" t="str">
        <f>IF(AND(AB841=1,'Plant Total by Account'!$H$1=2),"EKWRA","")</f>
        <v/>
      </c>
    </row>
    <row r="842" spans="1:29" x14ac:dyDescent="0.2">
      <c r="A842" s="39" t="s">
        <v>3274</v>
      </c>
      <c r="B842" s="132" t="s">
        <v>967</v>
      </c>
      <c r="C842" s="40" t="s">
        <v>2611</v>
      </c>
      <c r="D842" s="53">
        <v>0</v>
      </c>
      <c r="E842" s="53">
        <v>8380.41</v>
      </c>
      <c r="F842" s="53">
        <v>0</v>
      </c>
      <c r="G842" s="578">
        <f t="shared" si="124"/>
        <v>8380.41</v>
      </c>
      <c r="H842" s="41"/>
      <c r="I842" s="41"/>
      <c r="J842" s="41"/>
      <c r="K842" s="41">
        <f t="shared" si="115"/>
        <v>0</v>
      </c>
      <c r="L842" s="41">
        <f t="shared" si="116"/>
        <v>8380.41</v>
      </c>
      <c r="M842" s="41">
        <f t="shared" si="117"/>
        <v>0</v>
      </c>
      <c r="N842" s="363">
        <f t="shared" si="125"/>
        <v>0</v>
      </c>
      <c r="O842" s="43" t="s">
        <v>3309</v>
      </c>
      <c r="P842" s="43"/>
      <c r="R842" s="41">
        <f t="shared" si="121"/>
        <v>0</v>
      </c>
      <c r="S842" s="41">
        <f t="shared" si="122"/>
        <v>0</v>
      </c>
      <c r="T842" s="41">
        <f t="shared" si="123"/>
        <v>0</v>
      </c>
      <c r="U842" s="41"/>
      <c r="V842" s="44" t="str">
        <f>IF($P842="High",$S842,IF($P842="Mix",SUMIF('High_Low Voltage Mix Summary'!$B$10:$B$17,$B827,'High_Low Voltage Mix Summary'!$D$10:$D$17),""))</f>
        <v/>
      </c>
      <c r="W842" s="44" t="str">
        <f>IF($P842="Low",$S842,IF($P842="Mix",SUMIF('High_Low Voltage Mix Summary'!$B$10:$B$17,$B827,'High_Low Voltage Mix Summary'!$E$10:$E$17),""))</f>
        <v/>
      </c>
      <c r="X842" s="44" t="str">
        <f>IF($P842="High",$T842,IF($P842="Mix",SUMIF('High_Low Voltage Mix Summary'!$B$10:$B$17,$B827,'High_Low Voltage Mix Summary'!$F$10:$F$17),""))</f>
        <v/>
      </c>
      <c r="Y842" s="44" t="str">
        <f>IF($P842="Low",$T842,IF($P842="Mix",SUMIF('High_Low Voltage Mix Summary'!$B$10:$B$17,$B827,'High_Low Voltage Mix Summary'!$G$10:$G$17),""))</f>
        <v/>
      </c>
      <c r="Z842" s="44" t="str">
        <f>IF(OR($P842="High",$P842="Low"),"",IF($P842="Mix",SUMIF('High_Low Voltage Mix Summary'!$B$10:$B$17,$B827,'High_Low Voltage Mix Summary'!$H$10:$H$17),""))</f>
        <v/>
      </c>
      <c r="AB842" s="49">
        <f>SUMIF('Antelope Bailey Split BA'!$B$7:$B$29,B842,'Antelope Bailey Split BA'!$C$7:$C$29)</f>
        <v>0</v>
      </c>
      <c r="AC842" s="49" t="str">
        <f>IF(AND(AB842=1,'Plant Total by Account'!$H$1=2),"EKWRA","")</f>
        <v/>
      </c>
    </row>
    <row r="843" spans="1:29" x14ac:dyDescent="0.2">
      <c r="A843" s="39" t="s">
        <v>2627</v>
      </c>
      <c r="B843" s="132" t="s">
        <v>968</v>
      </c>
      <c r="C843" s="40" t="s">
        <v>2611</v>
      </c>
      <c r="D843" s="53">
        <v>0</v>
      </c>
      <c r="E843" s="53">
        <v>0</v>
      </c>
      <c r="F843" s="53">
        <v>27426.14</v>
      </c>
      <c r="G843" s="578">
        <f t="shared" si="124"/>
        <v>27426.14</v>
      </c>
      <c r="H843" s="41"/>
      <c r="I843" s="41"/>
      <c r="J843" s="41"/>
      <c r="K843" s="41">
        <f t="shared" si="115"/>
        <v>0</v>
      </c>
      <c r="L843" s="41">
        <f t="shared" si="116"/>
        <v>0</v>
      </c>
      <c r="M843" s="41">
        <f t="shared" si="117"/>
        <v>27426.14</v>
      </c>
      <c r="N843" s="363">
        <f t="shared" si="125"/>
        <v>0</v>
      </c>
      <c r="O843" s="43" t="s">
        <v>3309</v>
      </c>
      <c r="P843" s="43"/>
      <c r="R843" s="41">
        <f t="shared" si="121"/>
        <v>0</v>
      </c>
      <c r="S843" s="41">
        <f t="shared" si="122"/>
        <v>0</v>
      </c>
      <c r="T843" s="41">
        <f t="shared" si="123"/>
        <v>0</v>
      </c>
      <c r="U843" s="41"/>
      <c r="V843" s="44" t="str">
        <f>IF($P843="High",$S843,IF($P843="Mix",SUMIF('High_Low Voltage Mix Summary'!$B$10:$B$17,$B828,'High_Low Voltage Mix Summary'!$D$10:$D$17),""))</f>
        <v/>
      </c>
      <c r="W843" s="44" t="str">
        <f>IF($P843="Low",$S843,IF($P843="Mix",SUMIF('High_Low Voltage Mix Summary'!$B$10:$B$17,$B828,'High_Low Voltage Mix Summary'!$E$10:$E$17),""))</f>
        <v/>
      </c>
      <c r="X843" s="44" t="str">
        <f>IF($P843="High",$T843,IF($P843="Mix",SUMIF('High_Low Voltage Mix Summary'!$B$10:$B$17,$B828,'High_Low Voltage Mix Summary'!$F$10:$F$17),""))</f>
        <v/>
      </c>
      <c r="Y843" s="44" t="str">
        <f>IF($P843="Low",$T843,IF($P843="Mix",SUMIF('High_Low Voltage Mix Summary'!$B$10:$B$17,$B828,'High_Low Voltage Mix Summary'!$G$10:$G$17),""))</f>
        <v/>
      </c>
      <c r="Z843" s="44" t="str">
        <f>IF(OR($P843="High",$P843="Low"),"",IF($P843="Mix",SUMIF('High_Low Voltage Mix Summary'!$B$10:$B$17,$B828,'High_Low Voltage Mix Summary'!$H$10:$H$17),""))</f>
        <v/>
      </c>
      <c r="AB843" s="49">
        <f>SUMIF('Antelope Bailey Split BA'!$B$7:$B$29,B843,'Antelope Bailey Split BA'!$C$7:$C$29)</f>
        <v>0</v>
      </c>
      <c r="AC843" s="49" t="str">
        <f>IF(AND(AB843=1,'Plant Total by Account'!$H$1=2),"EKWRA","")</f>
        <v/>
      </c>
    </row>
    <row r="844" spans="1:29" ht="12.75" customHeight="1" x14ac:dyDescent="0.2">
      <c r="A844" s="39" t="s">
        <v>3275</v>
      </c>
      <c r="B844" s="132" t="s">
        <v>969</v>
      </c>
      <c r="C844" s="40" t="s">
        <v>2611</v>
      </c>
      <c r="D844" s="53">
        <v>0</v>
      </c>
      <c r="E844" s="53">
        <v>6298.58</v>
      </c>
      <c r="F844" s="53">
        <v>0</v>
      </c>
      <c r="G844" s="578">
        <f t="shared" si="124"/>
        <v>6298.58</v>
      </c>
      <c r="H844" s="41"/>
      <c r="I844" s="41"/>
      <c r="J844" s="41"/>
      <c r="K844" s="41">
        <f t="shared" si="115"/>
        <v>0</v>
      </c>
      <c r="L844" s="41">
        <f t="shared" si="116"/>
        <v>6298.58</v>
      </c>
      <c r="M844" s="41">
        <f t="shared" si="117"/>
        <v>0</v>
      </c>
      <c r="N844" s="363">
        <f t="shared" si="125"/>
        <v>0</v>
      </c>
      <c r="O844" s="43" t="s">
        <v>3309</v>
      </c>
      <c r="P844" s="43"/>
      <c r="R844" s="41">
        <f t="shared" si="121"/>
        <v>0</v>
      </c>
      <c r="S844" s="41">
        <f t="shared" si="122"/>
        <v>0</v>
      </c>
      <c r="T844" s="41">
        <f t="shared" si="123"/>
        <v>0</v>
      </c>
      <c r="U844" s="41"/>
      <c r="V844" s="44" t="str">
        <f>IF($P844="High",$S844,IF($P844="Mix",SUMIF('High_Low Voltage Mix Summary'!$B$10:$B$17,$B829,'High_Low Voltage Mix Summary'!$D$10:$D$17),""))</f>
        <v/>
      </c>
      <c r="W844" s="44" t="str">
        <f>IF($P844="Low",$S844,IF($P844="Mix",SUMIF('High_Low Voltage Mix Summary'!$B$10:$B$17,$B829,'High_Low Voltage Mix Summary'!$E$10:$E$17),""))</f>
        <v/>
      </c>
      <c r="X844" s="44" t="str">
        <f>IF($P844="High",$T844,IF($P844="Mix",SUMIF('High_Low Voltage Mix Summary'!$B$10:$B$17,$B829,'High_Low Voltage Mix Summary'!$F$10:$F$17),""))</f>
        <v/>
      </c>
      <c r="Y844" s="44" t="str">
        <f>IF($P844="Low",$T844,IF($P844="Mix",SUMIF('High_Low Voltage Mix Summary'!$B$10:$B$17,$B829,'High_Low Voltage Mix Summary'!$G$10:$G$17),""))</f>
        <v/>
      </c>
      <c r="Z844" s="44" t="str">
        <f>IF(OR($P844="High",$P844="Low"),"",IF($P844="Mix",SUMIF('High_Low Voltage Mix Summary'!$B$10:$B$17,$B829,'High_Low Voltage Mix Summary'!$H$10:$H$17),""))</f>
        <v/>
      </c>
      <c r="AB844" s="49">
        <f>SUMIF('Antelope Bailey Split BA'!$B$7:$B$29,B844,'Antelope Bailey Split BA'!$C$7:$C$29)</f>
        <v>0</v>
      </c>
      <c r="AC844" s="49" t="str">
        <f>IF(AND(AB844=1,'Plant Total by Account'!$H$1=2),"EKWRA","")</f>
        <v/>
      </c>
    </row>
    <row r="845" spans="1:29" ht="12.75" customHeight="1" x14ac:dyDescent="0.2">
      <c r="A845" s="39" t="s">
        <v>3298</v>
      </c>
      <c r="B845" s="133" t="s">
        <v>3299</v>
      </c>
      <c r="C845" s="40"/>
      <c r="D845" s="53">
        <v>0</v>
      </c>
      <c r="E845" s="53">
        <v>18621.21</v>
      </c>
      <c r="F845" s="53">
        <v>0</v>
      </c>
      <c r="G845" s="578">
        <f t="shared" si="124"/>
        <v>18621.21</v>
      </c>
      <c r="H845" s="173"/>
      <c r="I845" s="173"/>
      <c r="J845" s="173"/>
      <c r="K845" s="173">
        <f t="shared" ref="K845:K859" si="126">D845</f>
        <v>0</v>
      </c>
      <c r="L845" s="173">
        <f t="shared" ref="L845:L859" si="127">E845</f>
        <v>18621.21</v>
      </c>
      <c r="M845" s="173">
        <f t="shared" ref="M845:M859" si="128">F845</f>
        <v>0</v>
      </c>
      <c r="N845" s="363">
        <f t="shared" si="125"/>
        <v>0</v>
      </c>
      <c r="O845" s="43" t="s">
        <v>3309</v>
      </c>
      <c r="P845" s="43"/>
      <c r="R845" s="41">
        <f t="shared" si="121"/>
        <v>0</v>
      </c>
      <c r="S845" s="41">
        <f t="shared" si="122"/>
        <v>0</v>
      </c>
      <c r="T845" s="41">
        <f t="shared" si="123"/>
        <v>0</v>
      </c>
      <c r="U845" s="41"/>
      <c r="V845" s="44" t="str">
        <f>IF($P845="High",$S845,IF($P845="Mix",SUMIF('High_Low Voltage Mix Summary'!$B$10:$B$17,$B808,'High_Low Voltage Mix Summary'!$D$10:$D$17),""))</f>
        <v/>
      </c>
      <c r="W845" s="44" t="str">
        <f>IF($P845="Low",$S845,IF($P845="Mix",SUMIF('High_Low Voltage Mix Summary'!$B$10:$B$17,$B808,'High_Low Voltage Mix Summary'!$E$10:$E$17),""))</f>
        <v/>
      </c>
      <c r="X845" s="44" t="str">
        <f>IF($P845="High",$T845,IF($P845="Mix",SUMIF('High_Low Voltage Mix Summary'!$B$10:$B$17,$B808,'High_Low Voltage Mix Summary'!$F$10:$F$17),""))</f>
        <v/>
      </c>
      <c r="Y845" s="44" t="str">
        <f>IF($P845="Low",$T845,IF($P845="Mix",SUMIF('High_Low Voltage Mix Summary'!$B$10:$B$17,$B808,'High_Low Voltage Mix Summary'!$G$10:$G$17),""))</f>
        <v/>
      </c>
      <c r="Z845" s="44" t="str">
        <f>IF(OR($P845="High",$P845="Low"),"",IF($P845="Mix",SUMIF('High_Low Voltage Mix Summary'!$B$10:$B$17,$B808,'High_Low Voltage Mix Summary'!$H$10:$H$17),""))</f>
        <v/>
      </c>
      <c r="AB845" s="49">
        <f>SUMIF('Antelope Bailey Split BA'!$B$7:$B$29,B845,'Antelope Bailey Split BA'!$C$7:$C$29)</f>
        <v>0</v>
      </c>
      <c r="AC845" s="49" t="str">
        <f>IF(AND(AB845=1,'Plant Total by Account'!$H$1=2),"EKWRA","")</f>
        <v/>
      </c>
    </row>
    <row r="846" spans="1:29" ht="12.75" customHeight="1" x14ac:dyDescent="0.2">
      <c r="A846" s="39" t="s">
        <v>3276</v>
      </c>
      <c r="B846" s="132" t="s">
        <v>3277</v>
      </c>
      <c r="C846" s="40"/>
      <c r="D846" s="53">
        <v>0</v>
      </c>
      <c r="E846" s="53">
        <v>6953.06</v>
      </c>
      <c r="F846" s="53">
        <v>0</v>
      </c>
      <c r="G846" s="578">
        <f t="shared" si="124"/>
        <v>6953.06</v>
      </c>
      <c r="H846" s="41"/>
      <c r="I846" s="41"/>
      <c r="J846" s="41"/>
      <c r="K846" s="41">
        <f t="shared" si="126"/>
        <v>0</v>
      </c>
      <c r="L846" s="41">
        <f t="shared" si="127"/>
        <v>6953.06</v>
      </c>
      <c r="M846" s="41">
        <f t="shared" si="128"/>
        <v>0</v>
      </c>
      <c r="N846" s="363">
        <f t="shared" si="125"/>
        <v>0</v>
      </c>
      <c r="O846" s="43" t="s">
        <v>3309</v>
      </c>
      <c r="P846" s="43"/>
      <c r="R846" s="41">
        <f t="shared" si="121"/>
        <v>0</v>
      </c>
      <c r="S846" s="41">
        <f t="shared" si="122"/>
        <v>0</v>
      </c>
      <c r="T846" s="41">
        <f t="shared" si="123"/>
        <v>0</v>
      </c>
      <c r="U846" s="41"/>
      <c r="V846" s="44" t="str">
        <f>IF($P846="High",$S846,IF($P846="Mix",SUMIF('High_Low Voltage Mix Summary'!$B$10:$B$17,$B831,'High_Low Voltage Mix Summary'!$D$10:$D$17),""))</f>
        <v/>
      </c>
      <c r="W846" s="44" t="str">
        <f>IF($P846="Low",$S846,IF($P846="Mix",SUMIF('High_Low Voltage Mix Summary'!$B$10:$B$17,$B831,'High_Low Voltage Mix Summary'!$E$10:$E$17),""))</f>
        <v/>
      </c>
      <c r="X846" s="44" t="str">
        <f>IF($P846="High",$T846,IF($P846="Mix",SUMIF('High_Low Voltage Mix Summary'!$B$10:$B$17,$B831,'High_Low Voltage Mix Summary'!$F$10:$F$17),""))</f>
        <v/>
      </c>
      <c r="Y846" s="44" t="str">
        <f>IF($P846="Low",$T846,IF($P846="Mix",SUMIF('High_Low Voltage Mix Summary'!$B$10:$B$17,$B831,'High_Low Voltage Mix Summary'!$G$10:$G$17),""))</f>
        <v/>
      </c>
      <c r="Z846" s="44" t="str">
        <f>IF(OR($P846="High",$P846="Low"),"",IF($P846="Mix",SUMIF('High_Low Voltage Mix Summary'!$B$10:$B$17,$B831,'High_Low Voltage Mix Summary'!$H$10:$H$17),""))</f>
        <v/>
      </c>
      <c r="AB846" s="49">
        <f>SUMIF('Antelope Bailey Split BA'!$B$7:$B$29,B846,'Antelope Bailey Split BA'!$C$7:$C$29)</f>
        <v>0</v>
      </c>
      <c r="AC846" s="49" t="str">
        <f>IF(AND(AB846=1,'Plant Total by Account'!$H$1=2),"EKWRA","")</f>
        <v/>
      </c>
    </row>
    <row r="847" spans="1:29" ht="12.75" customHeight="1" x14ac:dyDescent="0.2">
      <c r="A847" s="39" t="s">
        <v>3278</v>
      </c>
      <c r="B847" s="132" t="s">
        <v>3279</v>
      </c>
      <c r="C847" s="40"/>
      <c r="D847" s="53">
        <v>0</v>
      </c>
      <c r="E847" s="53">
        <v>3406308.18</v>
      </c>
      <c r="F847" s="53">
        <v>0</v>
      </c>
      <c r="G847" s="578">
        <f t="shared" si="124"/>
        <v>3406308.18</v>
      </c>
      <c r="H847" s="41"/>
      <c r="I847" s="41"/>
      <c r="J847" s="41"/>
      <c r="K847" s="41">
        <f t="shared" si="126"/>
        <v>0</v>
      </c>
      <c r="L847" s="41">
        <f t="shared" si="127"/>
        <v>3406308.18</v>
      </c>
      <c r="M847" s="41">
        <f t="shared" si="128"/>
        <v>0</v>
      </c>
      <c r="N847" s="363">
        <f t="shared" si="125"/>
        <v>0</v>
      </c>
      <c r="O847" s="43" t="s">
        <v>3309</v>
      </c>
      <c r="P847" s="43"/>
      <c r="R847" s="41">
        <f t="shared" si="121"/>
        <v>0</v>
      </c>
      <c r="S847" s="41">
        <f t="shared" si="122"/>
        <v>0</v>
      </c>
      <c r="T847" s="41">
        <f t="shared" si="123"/>
        <v>0</v>
      </c>
      <c r="U847" s="41"/>
      <c r="V847" s="44" t="str">
        <f>IF($P847="High",$S847,IF($P847="Mix",SUMIF('High_Low Voltage Mix Summary'!$B$10:$B$17,$B832,'High_Low Voltage Mix Summary'!$D$10:$D$17),""))</f>
        <v/>
      </c>
      <c r="W847" s="44" t="str">
        <f>IF($P847="Low",$S847,IF($P847="Mix",SUMIF('High_Low Voltage Mix Summary'!$B$10:$B$17,$B832,'High_Low Voltage Mix Summary'!$E$10:$E$17),""))</f>
        <v/>
      </c>
      <c r="X847" s="44" t="str">
        <f>IF($P847="High",$T847,IF($P847="Mix",SUMIF('High_Low Voltage Mix Summary'!$B$10:$B$17,$B832,'High_Low Voltage Mix Summary'!$F$10:$F$17),""))</f>
        <v/>
      </c>
      <c r="Y847" s="44" t="str">
        <f>IF($P847="Low",$T847,IF($P847="Mix",SUMIF('High_Low Voltage Mix Summary'!$B$10:$B$17,$B832,'High_Low Voltage Mix Summary'!$G$10:$G$17),""))</f>
        <v/>
      </c>
      <c r="Z847" s="44" t="str">
        <f>IF(OR($P847="High",$P847="Low"),"",IF($P847="Mix",SUMIF('High_Low Voltage Mix Summary'!$B$10:$B$17,$B832,'High_Low Voltage Mix Summary'!$H$10:$H$17),""))</f>
        <v/>
      </c>
      <c r="AB847" s="49">
        <f>SUMIF('Antelope Bailey Split BA'!$B$7:$B$29,B847,'Antelope Bailey Split BA'!$C$7:$C$29)</f>
        <v>0</v>
      </c>
      <c r="AC847" s="49" t="str">
        <f>IF(AND(AB847=1,'Plant Total by Account'!$H$1=2),"EKWRA","")</f>
        <v/>
      </c>
    </row>
    <row r="848" spans="1:29" ht="12.75" customHeight="1" x14ac:dyDescent="0.2">
      <c r="A848" s="39" t="s">
        <v>3280</v>
      </c>
      <c r="B848" s="132" t="s">
        <v>138</v>
      </c>
      <c r="C848" s="40" t="s">
        <v>2611</v>
      </c>
      <c r="D848" s="53">
        <v>0</v>
      </c>
      <c r="E848" s="53">
        <v>9257.0500000000011</v>
      </c>
      <c r="F848" s="53">
        <v>75033.08</v>
      </c>
      <c r="G848" s="578">
        <f t="shared" si="124"/>
        <v>84290.13</v>
      </c>
      <c r="H848" s="41"/>
      <c r="I848" s="41"/>
      <c r="J848" s="41"/>
      <c r="K848" s="41">
        <f t="shared" si="126"/>
        <v>0</v>
      </c>
      <c r="L848" s="41">
        <f t="shared" si="127"/>
        <v>9257.0500000000011</v>
      </c>
      <c r="M848" s="41">
        <f t="shared" si="128"/>
        <v>75033.08</v>
      </c>
      <c r="N848" s="363">
        <f t="shared" si="125"/>
        <v>0</v>
      </c>
      <c r="O848" s="43" t="s">
        <v>3309</v>
      </c>
      <c r="P848" s="43"/>
      <c r="R848" s="41">
        <f t="shared" si="121"/>
        <v>0</v>
      </c>
      <c r="S848" s="41">
        <f t="shared" si="122"/>
        <v>0</v>
      </c>
      <c r="T848" s="41">
        <f t="shared" si="123"/>
        <v>0</v>
      </c>
      <c r="U848" s="41"/>
      <c r="V848" s="44" t="str">
        <f>IF($P848="High",$S848,IF($P848="Mix",SUMIF('High_Low Voltage Mix Summary'!$B$10:$B$17,$B833,'High_Low Voltage Mix Summary'!$D$10:$D$17),""))</f>
        <v/>
      </c>
      <c r="W848" s="44" t="str">
        <f>IF($P848="Low",$S848,IF($P848="Mix",SUMIF('High_Low Voltage Mix Summary'!$B$10:$B$17,$B833,'High_Low Voltage Mix Summary'!$E$10:$E$17),""))</f>
        <v/>
      </c>
      <c r="X848" s="44" t="str">
        <f>IF($P848="High",$T848,IF($P848="Mix",SUMIF('High_Low Voltage Mix Summary'!$B$10:$B$17,$B833,'High_Low Voltage Mix Summary'!$F$10:$F$17),""))</f>
        <v/>
      </c>
      <c r="Y848" s="44" t="str">
        <f>IF($P848="Low",$T848,IF($P848="Mix",SUMIF('High_Low Voltage Mix Summary'!$B$10:$B$17,$B833,'High_Low Voltage Mix Summary'!$G$10:$G$17),""))</f>
        <v/>
      </c>
      <c r="Z848" s="44" t="str">
        <f>IF(OR($P848="High",$P848="Low"),"",IF($P848="Mix",SUMIF('High_Low Voltage Mix Summary'!$B$10:$B$17,$B833,'High_Low Voltage Mix Summary'!$H$10:$H$17),""))</f>
        <v/>
      </c>
      <c r="AB848" s="49">
        <f>SUMIF('Antelope Bailey Split BA'!$B$7:$B$29,B848,'Antelope Bailey Split BA'!$C$7:$C$29)</f>
        <v>0</v>
      </c>
      <c r="AC848" s="49" t="str">
        <f>IF(AND(AB848=1,'Plant Total by Account'!$H$1=2),"EKWRA","")</f>
        <v/>
      </c>
    </row>
    <row r="849" spans="1:29" ht="12.75" customHeight="1" x14ac:dyDescent="0.2">
      <c r="A849" s="39" t="s">
        <v>3300</v>
      </c>
      <c r="B849" s="45" t="s">
        <v>3301</v>
      </c>
      <c r="C849" s="40"/>
      <c r="D849" s="41">
        <v>0</v>
      </c>
      <c r="E849" s="41">
        <v>184052.63</v>
      </c>
      <c r="F849" s="41">
        <v>0</v>
      </c>
      <c r="G849" s="578">
        <f t="shared" si="124"/>
        <v>184052.63</v>
      </c>
      <c r="H849" s="173"/>
      <c r="I849" s="173"/>
      <c r="J849" s="173"/>
      <c r="K849" s="173">
        <f t="shared" si="126"/>
        <v>0</v>
      </c>
      <c r="L849" s="173">
        <f t="shared" si="127"/>
        <v>184052.63</v>
      </c>
      <c r="M849" s="173">
        <f t="shared" si="128"/>
        <v>0</v>
      </c>
      <c r="N849" s="363">
        <f t="shared" si="125"/>
        <v>0</v>
      </c>
      <c r="O849" s="43" t="s">
        <v>3309</v>
      </c>
      <c r="P849" s="43"/>
      <c r="R849" s="41"/>
      <c r="S849" s="41"/>
      <c r="T849" s="41"/>
      <c r="U849" s="41"/>
      <c r="V849" s="44"/>
      <c r="W849" s="44"/>
      <c r="X849" s="44"/>
      <c r="Y849" s="44"/>
      <c r="Z849" s="44"/>
      <c r="AB849" s="49">
        <f>SUMIF('Antelope Bailey Split BA'!$B$7:$B$29,B849,'Antelope Bailey Split BA'!$C$7:$C$29)</f>
        <v>0</v>
      </c>
      <c r="AC849" s="49" t="str">
        <f>IF(AND(AB849=1,'Plant Total by Account'!$H$1=2),"EKWRA","")</f>
        <v/>
      </c>
    </row>
    <row r="850" spans="1:29" ht="12.75" customHeight="1" collapsed="1" x14ac:dyDescent="0.2">
      <c r="A850" s="39" t="s">
        <v>3302</v>
      </c>
      <c r="B850" s="45" t="s">
        <v>3303</v>
      </c>
      <c r="C850" s="40"/>
      <c r="D850" s="41">
        <v>0</v>
      </c>
      <c r="E850" s="41">
        <v>389851.38</v>
      </c>
      <c r="F850" s="41">
        <v>0</v>
      </c>
      <c r="G850" s="578">
        <f t="shared" si="124"/>
        <v>389851.38</v>
      </c>
      <c r="H850" s="173"/>
      <c r="I850" s="173"/>
      <c r="J850" s="173"/>
      <c r="K850" s="173">
        <f t="shared" si="126"/>
        <v>0</v>
      </c>
      <c r="L850" s="173">
        <f t="shared" si="127"/>
        <v>389851.38</v>
      </c>
      <c r="M850" s="173">
        <f t="shared" si="128"/>
        <v>0</v>
      </c>
      <c r="N850" s="363">
        <f t="shared" si="125"/>
        <v>0</v>
      </c>
      <c r="O850" s="43" t="s">
        <v>3309</v>
      </c>
      <c r="P850" s="43"/>
      <c r="R850" s="41"/>
      <c r="S850" s="41"/>
      <c r="T850" s="41"/>
      <c r="U850" s="41"/>
      <c r="V850" s="44"/>
      <c r="W850" s="44"/>
      <c r="X850" s="44"/>
      <c r="Y850" s="44"/>
      <c r="Z850" s="44"/>
      <c r="AB850" s="49">
        <f>SUMIF('Antelope Bailey Split BA'!$B$7:$B$29,B850,'Antelope Bailey Split BA'!$C$7:$C$29)</f>
        <v>0</v>
      </c>
      <c r="AC850" s="49" t="str">
        <f>IF(AND(AB850=1,'Plant Total by Account'!$H$1=2),"EKWRA","")</f>
        <v/>
      </c>
    </row>
    <row r="851" spans="1:29" ht="12.75" customHeight="1" collapsed="1" x14ac:dyDescent="0.2">
      <c r="A851" s="39" t="s">
        <v>3281</v>
      </c>
      <c r="B851" s="132" t="s">
        <v>3282</v>
      </c>
      <c r="C851" s="40"/>
      <c r="D851" s="53">
        <v>0</v>
      </c>
      <c r="E851" s="53">
        <v>0</v>
      </c>
      <c r="F851" s="53">
        <v>48195.8</v>
      </c>
      <c r="G851" s="578">
        <f t="shared" si="124"/>
        <v>48195.8</v>
      </c>
      <c r="H851" s="41"/>
      <c r="I851" s="41"/>
      <c r="J851" s="41"/>
      <c r="K851" s="41">
        <f t="shared" si="126"/>
        <v>0</v>
      </c>
      <c r="L851" s="41">
        <f t="shared" si="127"/>
        <v>0</v>
      </c>
      <c r="M851" s="41">
        <f t="shared" si="128"/>
        <v>48195.8</v>
      </c>
      <c r="N851" s="363">
        <f t="shared" si="125"/>
        <v>0</v>
      </c>
      <c r="O851" s="43" t="s">
        <v>3309</v>
      </c>
      <c r="P851" s="43"/>
      <c r="R851" s="41">
        <f>SUM(H851:J851)</f>
        <v>0</v>
      </c>
      <c r="S851" s="41">
        <f>H851</f>
        <v>0</v>
      </c>
      <c r="T851" s="41">
        <f>SUM(I851:J851)</f>
        <v>0</v>
      </c>
      <c r="U851" s="41"/>
      <c r="V851" s="44" t="str">
        <f>IF($P851="High",$S851,IF($P851="Mix",SUMIF('High_Low Voltage Mix Summary'!$B$10:$B$17,$B836,'High_Low Voltage Mix Summary'!$D$10:$D$17),""))</f>
        <v/>
      </c>
      <c r="W851" s="44" t="str">
        <f>IF($P851="Low",$S851,IF($P851="Mix",SUMIF('High_Low Voltage Mix Summary'!$B$10:$B$17,$B836,'High_Low Voltage Mix Summary'!$E$10:$E$17),""))</f>
        <v/>
      </c>
      <c r="X851" s="44" t="str">
        <f>IF($P851="High",$T851,IF($P851="Mix",SUMIF('High_Low Voltage Mix Summary'!$B$10:$B$17,$B836,'High_Low Voltage Mix Summary'!$F$10:$F$17),""))</f>
        <v/>
      </c>
      <c r="Y851" s="44" t="str">
        <f>IF($P851="Low",$T851,IF($P851="Mix",SUMIF('High_Low Voltage Mix Summary'!$B$10:$B$17,$B836,'High_Low Voltage Mix Summary'!$G$10:$G$17),""))</f>
        <v/>
      </c>
      <c r="Z851" s="44" t="str">
        <f>IF(OR($P851="High",$P851="Low"),"",IF($P851="Mix",SUMIF('High_Low Voltage Mix Summary'!$B$10:$B$17,$B836,'High_Low Voltage Mix Summary'!$H$10:$H$17),""))</f>
        <v/>
      </c>
      <c r="AB851" s="49">
        <f>SUMIF('Antelope Bailey Split BA'!$B$7:$B$29,B851,'Antelope Bailey Split BA'!$C$7:$C$29)</f>
        <v>0</v>
      </c>
      <c r="AC851" s="49" t="str">
        <f>IF(AND(AB851=1,'Plant Total by Account'!$H$1=2),"EKWRA","")</f>
        <v/>
      </c>
    </row>
    <row r="852" spans="1:29" ht="12.75" customHeight="1" x14ac:dyDescent="0.2">
      <c r="A852" s="39" t="s">
        <v>2613</v>
      </c>
      <c r="B852" s="132" t="s">
        <v>970</v>
      </c>
      <c r="C852" s="40" t="s">
        <v>2252</v>
      </c>
      <c r="D852" s="53">
        <v>89785.99</v>
      </c>
      <c r="E852" s="53">
        <v>0</v>
      </c>
      <c r="F852" s="53">
        <v>-12896.77</v>
      </c>
      <c r="G852" s="578">
        <f t="shared" si="124"/>
        <v>76889.22</v>
      </c>
      <c r="H852" s="41"/>
      <c r="I852" s="41"/>
      <c r="J852" s="41"/>
      <c r="K852" s="41">
        <f t="shared" si="126"/>
        <v>89785.99</v>
      </c>
      <c r="L852" s="41">
        <f t="shared" si="127"/>
        <v>0</v>
      </c>
      <c r="M852" s="41">
        <f t="shared" si="128"/>
        <v>-12896.77</v>
      </c>
      <c r="N852" s="363">
        <f t="shared" si="125"/>
        <v>0</v>
      </c>
      <c r="O852" s="43" t="s">
        <v>3309</v>
      </c>
      <c r="P852" s="43"/>
      <c r="R852" s="41">
        <f>SUM(H852:J852)</f>
        <v>0</v>
      </c>
      <c r="S852" s="41">
        <f>H852</f>
        <v>0</v>
      </c>
      <c r="T852" s="41">
        <f>SUM(I852:J852)</f>
        <v>0</v>
      </c>
      <c r="U852" s="41"/>
      <c r="V852" s="44" t="str">
        <f>IF($P852="High",$S852,IF($P852="Mix",SUMIF('High_Low Voltage Mix Summary'!$B$10:$B$17,$B837,'High_Low Voltage Mix Summary'!$D$10:$D$17),""))</f>
        <v/>
      </c>
      <c r="W852" s="44" t="str">
        <f>IF($P852="Low",$S852,IF($P852="Mix",SUMIF('High_Low Voltage Mix Summary'!$B$10:$B$17,$B837,'High_Low Voltage Mix Summary'!$E$10:$E$17),""))</f>
        <v/>
      </c>
      <c r="X852" s="44" t="str">
        <f>IF($P852="High",$T852,IF($P852="Mix",SUMIF('High_Low Voltage Mix Summary'!$B$10:$B$17,$B837,'High_Low Voltage Mix Summary'!$F$10:$F$17),""))</f>
        <v/>
      </c>
      <c r="Y852" s="44" t="str">
        <f>IF($P852="Low",$T852,IF($P852="Mix",SUMIF('High_Low Voltage Mix Summary'!$B$10:$B$17,$B837,'High_Low Voltage Mix Summary'!$G$10:$G$17),""))</f>
        <v/>
      </c>
      <c r="Z852" s="44" t="str">
        <f>IF(OR($P852="High",$P852="Low"),"",IF($P852="Mix",SUMIF('High_Low Voltage Mix Summary'!$B$10:$B$17,$B837,'High_Low Voltage Mix Summary'!$H$10:$H$17),""))</f>
        <v/>
      </c>
      <c r="AB852" s="49">
        <f>SUMIF('Antelope Bailey Split BA'!$B$7:$B$29,B852,'Antelope Bailey Split BA'!$C$7:$C$29)</f>
        <v>0</v>
      </c>
      <c r="AC852" s="49" t="str">
        <f>IF(AND(AB852=1,'Plant Total by Account'!$H$1=2),"EKWRA","")</f>
        <v/>
      </c>
    </row>
    <row r="853" spans="1:29" ht="12.75" customHeight="1" x14ac:dyDescent="0.2">
      <c r="A853" s="39" t="s">
        <v>3283</v>
      </c>
      <c r="B853" s="132" t="s">
        <v>971</v>
      </c>
      <c r="C853" s="40" t="s">
        <v>2611</v>
      </c>
      <c r="D853" s="53">
        <v>0</v>
      </c>
      <c r="E853" s="53">
        <v>3416.54</v>
      </c>
      <c r="F853" s="53">
        <v>0</v>
      </c>
      <c r="G853" s="578">
        <f t="shared" si="124"/>
        <v>3416.54</v>
      </c>
      <c r="H853" s="41"/>
      <c r="I853" s="41"/>
      <c r="J853" s="41"/>
      <c r="K853" s="41">
        <f t="shared" si="126"/>
        <v>0</v>
      </c>
      <c r="L853" s="41">
        <f t="shared" si="127"/>
        <v>3416.54</v>
      </c>
      <c r="M853" s="41">
        <f t="shared" si="128"/>
        <v>0</v>
      </c>
      <c r="N853" s="363">
        <f t="shared" si="125"/>
        <v>0</v>
      </c>
      <c r="O853" s="43" t="s">
        <v>3309</v>
      </c>
      <c r="P853" s="43"/>
      <c r="R853" s="41">
        <f>SUM(H853:J853)</f>
        <v>0</v>
      </c>
      <c r="S853" s="41">
        <f>H853</f>
        <v>0</v>
      </c>
      <c r="T853" s="41">
        <f>SUM(I853:J853)</f>
        <v>0</v>
      </c>
      <c r="U853" s="41"/>
      <c r="V853" s="44" t="str">
        <f>IF($P853="High",$S853,IF($P853="Mix",SUMIF('High_Low Voltage Mix Summary'!$B$10:$B$17,$B838,'High_Low Voltage Mix Summary'!$D$10:$D$17),""))</f>
        <v/>
      </c>
      <c r="W853" s="44" t="str">
        <f>IF($P853="Low",$S853,IF($P853="Mix",SUMIF('High_Low Voltage Mix Summary'!$B$10:$B$17,$B838,'High_Low Voltage Mix Summary'!$E$10:$E$17),""))</f>
        <v/>
      </c>
      <c r="X853" s="44" t="str">
        <f>IF($P853="High",$T853,IF($P853="Mix",SUMIF('High_Low Voltage Mix Summary'!$B$10:$B$17,$B838,'High_Low Voltage Mix Summary'!$F$10:$F$17),""))</f>
        <v/>
      </c>
      <c r="Y853" s="44" t="str">
        <f>IF($P853="Low",$T853,IF($P853="Mix",SUMIF('High_Low Voltage Mix Summary'!$B$10:$B$17,$B838,'High_Low Voltage Mix Summary'!$G$10:$G$17),""))</f>
        <v/>
      </c>
      <c r="Z853" s="44" t="str">
        <f>IF(OR($P853="High",$P853="Low"),"",IF($P853="Mix",SUMIF('High_Low Voltage Mix Summary'!$B$10:$B$17,$B838,'High_Low Voltage Mix Summary'!$H$10:$H$17),""))</f>
        <v/>
      </c>
      <c r="AB853" s="49">
        <f>SUMIF('Antelope Bailey Split BA'!$B$7:$B$29,B853,'Antelope Bailey Split BA'!$C$7:$C$29)</f>
        <v>0</v>
      </c>
      <c r="AC853" s="49" t="str">
        <f>IF(AND(AB853=1,'Plant Total by Account'!$H$1=2),"EKWRA","")</f>
        <v/>
      </c>
    </row>
    <row r="854" spans="1:29" ht="12.75" customHeight="1" x14ac:dyDescent="0.2">
      <c r="A854" s="39" t="s">
        <v>3284</v>
      </c>
      <c r="B854" s="132" t="s">
        <v>972</v>
      </c>
      <c r="C854" s="40" t="s">
        <v>2611</v>
      </c>
      <c r="D854" s="53">
        <v>0</v>
      </c>
      <c r="E854" s="53">
        <v>3179.01</v>
      </c>
      <c r="F854" s="53">
        <v>0</v>
      </c>
      <c r="G854" s="578">
        <f t="shared" si="124"/>
        <v>3179.01</v>
      </c>
      <c r="H854" s="41"/>
      <c r="I854" s="41"/>
      <c r="J854" s="41"/>
      <c r="K854" s="41">
        <f t="shared" si="126"/>
        <v>0</v>
      </c>
      <c r="L854" s="41">
        <f t="shared" si="127"/>
        <v>3179.01</v>
      </c>
      <c r="M854" s="41">
        <f t="shared" si="128"/>
        <v>0</v>
      </c>
      <c r="N854" s="363">
        <f t="shared" si="125"/>
        <v>0</v>
      </c>
      <c r="O854" s="43" t="s">
        <v>3309</v>
      </c>
      <c r="P854" s="43"/>
      <c r="R854" s="41">
        <f>SUM(H854:J854)</f>
        <v>0</v>
      </c>
      <c r="S854" s="41">
        <f>H854</f>
        <v>0</v>
      </c>
      <c r="T854" s="41">
        <f>SUM(I854:J854)</f>
        <v>0</v>
      </c>
      <c r="U854" s="41"/>
      <c r="V854" s="44" t="str">
        <f>IF($P854="High",$S854,IF($P854="Mix",SUMIF('High_Low Voltage Mix Summary'!$B$10:$B$17,$B839,'High_Low Voltage Mix Summary'!$D$10:$D$17),""))</f>
        <v/>
      </c>
      <c r="W854" s="44" t="str">
        <f>IF($P854="Low",$S854,IF($P854="Mix",SUMIF('High_Low Voltage Mix Summary'!$B$10:$B$17,$B839,'High_Low Voltage Mix Summary'!$E$10:$E$17),""))</f>
        <v/>
      </c>
      <c r="X854" s="44" t="str">
        <f>IF($P854="High",$T854,IF($P854="Mix",SUMIF('High_Low Voltage Mix Summary'!$B$10:$B$17,$B839,'High_Low Voltage Mix Summary'!$F$10:$F$17),""))</f>
        <v/>
      </c>
      <c r="Y854" s="44" t="str">
        <f>IF($P854="Low",$T854,IF($P854="Mix",SUMIF('High_Low Voltage Mix Summary'!$B$10:$B$17,$B839,'High_Low Voltage Mix Summary'!$G$10:$G$17),""))</f>
        <v/>
      </c>
      <c r="Z854" s="44" t="str">
        <f>IF(OR($P854="High",$P854="Low"),"",IF($P854="Mix",SUMIF('High_Low Voltage Mix Summary'!$B$10:$B$17,$B839,'High_Low Voltage Mix Summary'!$H$10:$H$17),""))</f>
        <v/>
      </c>
      <c r="AB854" s="49">
        <f>SUMIF('Antelope Bailey Split BA'!$B$7:$B$29,B854,'Antelope Bailey Split BA'!$C$7:$C$29)</f>
        <v>0</v>
      </c>
      <c r="AC854" s="49" t="str">
        <f>IF(AND(AB854=1,'Plant Total by Account'!$H$1=2),"EKWRA","")</f>
        <v/>
      </c>
    </row>
    <row r="855" spans="1:29" ht="12.75" customHeight="1" x14ac:dyDescent="0.2">
      <c r="A855" s="39" t="s">
        <v>3304</v>
      </c>
      <c r="B855" s="45" t="s">
        <v>3305</v>
      </c>
      <c r="C855" s="40"/>
      <c r="D855" s="41">
        <v>0</v>
      </c>
      <c r="E855" s="41">
        <v>93348.81</v>
      </c>
      <c r="F855" s="41">
        <v>0</v>
      </c>
      <c r="G855" s="578">
        <f t="shared" si="124"/>
        <v>93348.81</v>
      </c>
      <c r="H855" s="173"/>
      <c r="I855" s="173"/>
      <c r="J855" s="173"/>
      <c r="K855" s="173">
        <f t="shared" si="126"/>
        <v>0</v>
      </c>
      <c r="L855" s="173">
        <f t="shared" si="127"/>
        <v>93348.81</v>
      </c>
      <c r="M855" s="173">
        <f t="shared" si="128"/>
        <v>0</v>
      </c>
      <c r="N855" s="363">
        <f t="shared" si="125"/>
        <v>0</v>
      </c>
      <c r="O855" s="43" t="s">
        <v>3309</v>
      </c>
      <c r="P855" s="43"/>
      <c r="R855" s="41"/>
      <c r="S855" s="41"/>
      <c r="T855" s="41"/>
      <c r="U855" s="41"/>
      <c r="V855" s="44"/>
      <c r="W855" s="44"/>
      <c r="X855" s="44"/>
      <c r="Y855" s="44"/>
      <c r="Z855" s="44"/>
      <c r="AB855" s="49">
        <f>SUMIF('Antelope Bailey Split BA'!$B$7:$B$29,B855,'Antelope Bailey Split BA'!$C$7:$C$29)</f>
        <v>0</v>
      </c>
      <c r="AC855" s="49" t="str">
        <f>IF(AND(AB855=1,'Plant Total by Account'!$H$1=2),"EKWRA","")</f>
        <v/>
      </c>
    </row>
    <row r="856" spans="1:29" ht="12.75" customHeight="1" x14ac:dyDescent="0.2">
      <c r="A856" s="39" t="s">
        <v>3285</v>
      </c>
      <c r="B856" s="132" t="s">
        <v>3286</v>
      </c>
      <c r="C856" s="40"/>
      <c r="D856" s="53">
        <v>0</v>
      </c>
      <c r="E856" s="53">
        <v>65408.060000000005</v>
      </c>
      <c r="F856" s="53">
        <v>0</v>
      </c>
      <c r="G856" s="578">
        <f t="shared" si="124"/>
        <v>65408.060000000005</v>
      </c>
      <c r="H856" s="41"/>
      <c r="I856" s="41"/>
      <c r="J856" s="41"/>
      <c r="K856" s="41">
        <f t="shared" si="126"/>
        <v>0</v>
      </c>
      <c r="L856" s="41">
        <f t="shared" si="127"/>
        <v>65408.060000000005</v>
      </c>
      <c r="M856" s="41">
        <f t="shared" si="128"/>
        <v>0</v>
      </c>
      <c r="N856" s="363">
        <f t="shared" si="125"/>
        <v>0</v>
      </c>
      <c r="O856" s="43" t="s">
        <v>3309</v>
      </c>
      <c r="P856" s="43"/>
      <c r="R856" s="41">
        <f>SUM(H856:J856)</f>
        <v>0</v>
      </c>
      <c r="S856" s="41">
        <f>H856</f>
        <v>0</v>
      </c>
      <c r="T856" s="41">
        <f>SUM(I856:J856)</f>
        <v>0</v>
      </c>
      <c r="U856" s="41"/>
      <c r="V856" s="44" t="str">
        <f>IF($P856="High",$S856,IF($P856="Mix",SUMIF('High_Low Voltage Mix Summary'!$B$10:$B$17,$B841,'High_Low Voltage Mix Summary'!$D$10:$D$17),""))</f>
        <v/>
      </c>
      <c r="W856" s="44" t="str">
        <f>IF($P856="Low",$S856,IF($P856="Mix",SUMIF('High_Low Voltage Mix Summary'!$B$10:$B$17,$B841,'High_Low Voltage Mix Summary'!$E$10:$E$17),""))</f>
        <v/>
      </c>
      <c r="X856" s="44" t="str">
        <f>IF($P856="High",$T856,IF($P856="Mix",SUMIF('High_Low Voltage Mix Summary'!$B$10:$B$17,$B841,'High_Low Voltage Mix Summary'!$F$10:$F$17),""))</f>
        <v/>
      </c>
      <c r="Y856" s="44" t="str">
        <f>IF($P856="Low",$T856,IF($P856="Mix",SUMIF('High_Low Voltage Mix Summary'!$B$10:$B$17,$B841,'High_Low Voltage Mix Summary'!$G$10:$G$17),""))</f>
        <v/>
      </c>
      <c r="Z856" s="44" t="str">
        <f>IF(OR($P856="High",$P856="Low"),"",IF($P856="Mix",SUMIF('High_Low Voltage Mix Summary'!$B$10:$B$17,$B841,'High_Low Voltage Mix Summary'!$H$10:$H$17),""))</f>
        <v/>
      </c>
      <c r="AB856" s="49">
        <f>SUMIF('Antelope Bailey Split BA'!$B$7:$B$29,B856,'Antelope Bailey Split BA'!$C$7:$C$29)</f>
        <v>0</v>
      </c>
      <c r="AC856" s="49" t="str">
        <f>IF(AND(AB856=1,'Plant Total by Account'!$H$1=2),"EKWRA","")</f>
        <v/>
      </c>
    </row>
    <row r="857" spans="1:29" ht="12.75" customHeight="1" x14ac:dyDescent="0.2">
      <c r="A857" s="39" t="s">
        <v>3287</v>
      </c>
      <c r="B857" s="132" t="s">
        <v>973</v>
      </c>
      <c r="C857" s="40" t="s">
        <v>3334</v>
      </c>
      <c r="D857" s="53">
        <v>0</v>
      </c>
      <c r="E857" s="53">
        <v>35107.24</v>
      </c>
      <c r="F857" s="53">
        <v>0</v>
      </c>
      <c r="G857" s="578">
        <f t="shared" si="124"/>
        <v>35107.24</v>
      </c>
      <c r="H857" s="41"/>
      <c r="I857" s="41"/>
      <c r="J857" s="41"/>
      <c r="K857" s="41">
        <f t="shared" si="126"/>
        <v>0</v>
      </c>
      <c r="L857" s="41">
        <f t="shared" si="127"/>
        <v>35107.24</v>
      </c>
      <c r="M857" s="41">
        <f t="shared" si="128"/>
        <v>0</v>
      </c>
      <c r="N857" s="363">
        <f t="shared" si="125"/>
        <v>0</v>
      </c>
      <c r="O857" s="43" t="s">
        <v>3309</v>
      </c>
      <c r="P857" s="43"/>
      <c r="R857" s="41">
        <f>SUM(H857:J857)</f>
        <v>0</v>
      </c>
      <c r="S857" s="41">
        <f>H857</f>
        <v>0</v>
      </c>
      <c r="T857" s="41">
        <f>SUM(I857:J857)</f>
        <v>0</v>
      </c>
      <c r="U857" s="41"/>
      <c r="V857" s="44" t="str">
        <f>IF($P857="High",$S857,IF($P857="Mix",SUMIF('High_Low Voltage Mix Summary'!$B$10:$B$17,$B842,'High_Low Voltage Mix Summary'!$D$10:$D$17),""))</f>
        <v/>
      </c>
      <c r="W857" s="44" t="str">
        <f>IF($P857="Low",$S857,IF($P857="Mix",SUMIF('High_Low Voltage Mix Summary'!$B$10:$B$17,$B842,'High_Low Voltage Mix Summary'!$E$10:$E$17),""))</f>
        <v/>
      </c>
      <c r="X857" s="44" t="str">
        <f>IF($P857="High",$T857,IF($P857="Mix",SUMIF('High_Low Voltage Mix Summary'!$B$10:$B$17,$B842,'High_Low Voltage Mix Summary'!$F$10:$F$17),""))</f>
        <v/>
      </c>
      <c r="Y857" s="44" t="str">
        <f>IF($P857="Low",$T857,IF($P857="Mix",SUMIF('High_Low Voltage Mix Summary'!$B$10:$B$17,$B842,'High_Low Voltage Mix Summary'!$G$10:$G$17),""))</f>
        <v/>
      </c>
      <c r="Z857" s="44" t="str">
        <f>IF(OR($P857="High",$P857="Low"),"",IF($P857="Mix",SUMIF('High_Low Voltage Mix Summary'!$B$10:$B$17,$B842,'High_Low Voltage Mix Summary'!$H$10:$H$17),""))</f>
        <v/>
      </c>
      <c r="AB857" s="49">
        <f>SUMIF('Antelope Bailey Split BA'!$B$7:$B$29,B857,'Antelope Bailey Split BA'!$C$7:$C$29)</f>
        <v>0</v>
      </c>
      <c r="AC857" s="49" t="str">
        <f>IF(AND(AB857=1,'Plant Total by Account'!$H$1=2),"EKWRA","")</f>
        <v/>
      </c>
    </row>
    <row r="858" spans="1:29" ht="12.75" customHeight="1" x14ac:dyDescent="0.2">
      <c r="A858" s="39" t="s">
        <v>3306</v>
      </c>
      <c r="B858" s="132" t="s">
        <v>3307</v>
      </c>
      <c r="C858" s="40"/>
      <c r="D858" s="53">
        <v>0</v>
      </c>
      <c r="E858" s="514">
        <v>-0.06</v>
      </c>
      <c r="F858" s="514">
        <v>0</v>
      </c>
      <c r="G858" s="513">
        <f t="shared" si="124"/>
        <v>-0.06</v>
      </c>
      <c r="H858" s="512"/>
      <c r="I858" s="512"/>
      <c r="J858" s="512"/>
      <c r="K858" s="512">
        <f t="shared" si="126"/>
        <v>0</v>
      </c>
      <c r="L858" s="514">
        <f t="shared" si="127"/>
        <v>-0.06</v>
      </c>
      <c r="M858" s="173">
        <f t="shared" si="128"/>
        <v>0</v>
      </c>
      <c r="N858" s="363">
        <f t="shared" si="125"/>
        <v>0</v>
      </c>
      <c r="O858" s="43" t="s">
        <v>3309</v>
      </c>
      <c r="P858" s="43"/>
      <c r="R858" s="41"/>
      <c r="S858" s="41"/>
      <c r="T858" s="41"/>
      <c r="U858" s="41"/>
      <c r="V858" s="44"/>
      <c r="W858" s="44"/>
      <c r="X858" s="44"/>
      <c r="Y858" s="44"/>
      <c r="Z858" s="44"/>
      <c r="AB858" s="49">
        <f>SUMIF('Antelope Bailey Split BA'!$B$7:$B$29,B858,'Antelope Bailey Split BA'!$C$7:$C$29)</f>
        <v>0</v>
      </c>
      <c r="AC858" s="49" t="str">
        <f>IF(AND(AB858=1,'Plant Total by Account'!$H$1=2),"EKWRA","")</f>
        <v/>
      </c>
    </row>
    <row r="859" spans="1:29" ht="12.75" customHeight="1" x14ac:dyDescent="0.2">
      <c r="A859" s="39" t="s">
        <v>2614</v>
      </c>
      <c r="B859" s="132" t="s">
        <v>974</v>
      </c>
      <c r="C859" s="40" t="s">
        <v>2611</v>
      </c>
      <c r="D859" s="53">
        <v>4313.2900000000009</v>
      </c>
      <c r="E859" s="53">
        <v>0</v>
      </c>
      <c r="F859" s="53">
        <v>0</v>
      </c>
      <c r="G859" s="578">
        <f t="shared" si="124"/>
        <v>4313.2900000000009</v>
      </c>
      <c r="H859" s="41"/>
      <c r="I859" s="41"/>
      <c r="J859" s="41"/>
      <c r="K859" s="41">
        <f t="shared" si="126"/>
        <v>4313.2900000000009</v>
      </c>
      <c r="L859" s="41">
        <f t="shared" si="127"/>
        <v>0</v>
      </c>
      <c r="M859" s="41">
        <f t="shared" si="128"/>
        <v>0</v>
      </c>
      <c r="N859" s="363">
        <f t="shared" si="125"/>
        <v>0</v>
      </c>
      <c r="O859" s="43" t="s">
        <v>3309</v>
      </c>
      <c r="P859" s="43"/>
      <c r="R859" s="41">
        <f>SUM(H859:J859)</f>
        <v>0</v>
      </c>
      <c r="S859" s="41">
        <f>H859</f>
        <v>0</v>
      </c>
      <c r="T859" s="41">
        <f>SUM(I859:J859)</f>
        <v>0</v>
      </c>
      <c r="U859" s="41"/>
      <c r="V859" s="44" t="str">
        <f>IF($P859="High",$S859,IF($P859="Mix",SUMIF('High_Low Voltage Mix Summary'!$B$10:$B$17,$B844,'High_Low Voltage Mix Summary'!$D$10:$D$17),""))</f>
        <v/>
      </c>
      <c r="W859" s="44" t="str">
        <f>IF($P859="Low",$S859,IF($P859="Mix",SUMIF('High_Low Voltage Mix Summary'!$B$10:$B$17,$B844,'High_Low Voltage Mix Summary'!$E$10:$E$17),""))</f>
        <v/>
      </c>
      <c r="X859" s="44" t="str">
        <f>IF($P859="High",$T859,IF($P859="Mix",SUMIF('High_Low Voltage Mix Summary'!$B$10:$B$17,$B844,'High_Low Voltage Mix Summary'!$F$10:$F$17),""))</f>
        <v/>
      </c>
      <c r="Y859" s="44" t="str">
        <f>IF($P859="Low",$T859,IF($P859="Mix",SUMIF('High_Low Voltage Mix Summary'!$B$10:$B$17,$B844,'High_Low Voltage Mix Summary'!$G$10:$G$17),""))</f>
        <v/>
      </c>
      <c r="Z859" s="44" t="str">
        <f>IF(OR($P859="High",$P859="Low"),"",IF($P859="Mix",SUMIF('High_Low Voltage Mix Summary'!$B$10:$B$17,$B844,'High_Low Voltage Mix Summary'!$H$10:$H$17),""))</f>
        <v/>
      </c>
      <c r="AB859" s="49">
        <f>SUMIF('Antelope Bailey Split BA'!$B$7:$B$29,B859,'Antelope Bailey Split BA'!$C$7:$C$29)</f>
        <v>0</v>
      </c>
      <c r="AC859" s="49" t="str">
        <f>IF(AND(AB859=1,'Plant Total by Account'!$H$1=2),"EKWRA","")</f>
        <v/>
      </c>
    </row>
    <row r="860" spans="1:29" ht="13.5" customHeight="1" thickBot="1" x14ac:dyDescent="0.25">
      <c r="A860" s="482" t="s">
        <v>2183</v>
      </c>
      <c r="B860" s="43"/>
      <c r="C860" s="43"/>
      <c r="D860" s="480">
        <f t="shared" ref="D860:M860" si="129">SUM(D9:D859)</f>
        <v>105855061.72000007</v>
      </c>
      <c r="E860" s="480">
        <f t="shared" si="129"/>
        <v>431350910.12999976</v>
      </c>
      <c r="F860" s="480">
        <f t="shared" si="129"/>
        <v>1609973202.2599988</v>
      </c>
      <c r="G860" s="579">
        <f t="shared" si="129"/>
        <v>2147179174.1100016</v>
      </c>
      <c r="H860" s="479">
        <f t="shared" si="129"/>
        <v>75876.480999774722</v>
      </c>
      <c r="I860" s="479">
        <f t="shared" si="129"/>
        <v>683246.94527539623</v>
      </c>
      <c r="J860" s="479">
        <f t="shared" si="129"/>
        <v>5875711.4176010117</v>
      </c>
      <c r="K860" s="479">
        <f t="shared" si="129"/>
        <v>105779185.23900029</v>
      </c>
      <c r="L860" s="479">
        <f t="shared" si="129"/>
        <v>430667663.18472439</v>
      </c>
      <c r="M860" s="479">
        <f t="shared" si="129"/>
        <v>1604097490.8423972</v>
      </c>
      <c r="N860" s="363">
        <f t="shared" si="125"/>
        <v>3.337860107421875E-6</v>
      </c>
      <c r="R860" s="70">
        <f>SUM(R846:R859)</f>
        <v>0</v>
      </c>
      <c r="S860" s="70">
        <f>SUM(S846:S859)</f>
        <v>0</v>
      </c>
      <c r="T860" s="70">
        <f>SUM(T846:T859)</f>
        <v>0</v>
      </c>
      <c r="U860" s="41"/>
      <c r="V860" s="70">
        <f>SUM(V846:V859)</f>
        <v>0</v>
      </c>
      <c r="W860" s="70">
        <f>SUM(W846:W859)</f>
        <v>0</v>
      </c>
      <c r="X860" s="70">
        <f>SUM(X846:X859)</f>
        <v>0</v>
      </c>
      <c r="Y860" s="70">
        <f>SUM(Y846:Y859)</f>
        <v>0</v>
      </c>
      <c r="Z860" s="70">
        <f>SUM(Z846:Z859)</f>
        <v>0</v>
      </c>
    </row>
    <row r="861" spans="1:29" ht="13.5" customHeight="1" thickTop="1" thickBot="1" x14ac:dyDescent="0.25">
      <c r="A861" s="52"/>
      <c r="B861" s="43"/>
      <c r="C861" s="43"/>
      <c r="D861" s="154"/>
      <c r="E861" s="154"/>
      <c r="F861" s="154"/>
      <c r="G861" s="547"/>
      <c r="H861" s="154"/>
      <c r="I861" s="41"/>
      <c r="J861" s="41"/>
      <c r="K861" s="41"/>
      <c r="L861" s="41"/>
      <c r="M861" s="41"/>
      <c r="N861" s="172"/>
      <c r="R861" s="41"/>
      <c r="S861" s="41"/>
      <c r="T861" s="41"/>
      <c r="U861" s="41"/>
      <c r="V861" s="41"/>
      <c r="W861" s="41"/>
      <c r="X861" s="41"/>
      <c r="Y861" s="41"/>
      <c r="Z861" s="41"/>
    </row>
    <row r="862" spans="1:29" ht="18.75" customHeight="1" x14ac:dyDescent="0.2">
      <c r="A862" s="805" t="s">
        <v>3317</v>
      </c>
      <c r="B862" s="806"/>
      <c r="C862" s="464" t="s">
        <v>3313</v>
      </c>
      <c r="D862" s="465">
        <f>SUMIF($O$9:$O$859,"Non-ISO",D$9:D$859)</f>
        <v>105371786.58000007</v>
      </c>
      <c r="E862" s="465">
        <f>SUMIF($O$9:$O$859,"Non-ISO",E$9:E$859)</f>
        <v>427389171.38999975</v>
      </c>
      <c r="F862" s="465">
        <f>SUMIF($O$9:$O$859,"Non-ISO",F$9:F$859)</f>
        <v>1574795622.3699985</v>
      </c>
      <c r="G862" s="466">
        <f>SUM(D862:F862)</f>
        <v>2107556580.3399982</v>
      </c>
      <c r="H862" s="465"/>
      <c r="I862" s="465"/>
      <c r="J862" s="465"/>
      <c r="K862" s="465">
        <f>SUMIF($O$9:$O$859,"Non-ISO",K$9:K$859)</f>
        <v>105371786.58000007</v>
      </c>
      <c r="L862" s="465">
        <f>SUMIF($O$9:$O$859,"Non-ISO",L$9:L$859)</f>
        <v>427389171.38999975</v>
      </c>
      <c r="M862" s="467">
        <f>SUMIF($O$9:$O$859,"Non-ISO",M$9:M$859)</f>
        <v>1574795622.3699985</v>
      </c>
      <c r="N862" s="363">
        <f>G862-SUM(H862:M862)</f>
        <v>0</v>
      </c>
      <c r="O862" s="30"/>
      <c r="R862" s="545"/>
      <c r="S862" s="545"/>
      <c r="T862" s="545"/>
      <c r="V862" s="545"/>
      <c r="W862" s="545"/>
      <c r="X862" s="545"/>
      <c r="Y862" s="545"/>
      <c r="Z862" s="545"/>
      <c r="AB862" s="511"/>
      <c r="AC862" s="511"/>
    </row>
    <row r="863" spans="1:29" ht="18.75" customHeight="1" thickBot="1" x14ac:dyDescent="0.25">
      <c r="A863" s="807"/>
      <c r="B863" s="808"/>
      <c r="C863" s="468" t="s">
        <v>3314</v>
      </c>
      <c r="D863" s="469">
        <f>SUMIF($O$9:$O$859,"Mix",D$9:D$859)</f>
        <v>483275.14</v>
      </c>
      <c r="E863" s="469">
        <f>SUMIF($O$9:$O$859,"Mix",E$9:E$859)</f>
        <v>3961738.7400000012</v>
      </c>
      <c r="F863" s="469">
        <f>SUMIF($O$9:$O$859,"Mix",F$9:F$859)</f>
        <v>35177579.890000008</v>
      </c>
      <c r="G863" s="470">
        <f>SUM(D863:F863)</f>
        <v>39622593.770000011</v>
      </c>
      <c r="H863" s="469">
        <f t="shared" ref="H863:M863" si="130">SUMIF($O$9:$O$859,"Mix",H$9:H$859)</f>
        <v>75876.480999774722</v>
      </c>
      <c r="I863" s="469">
        <f t="shared" si="130"/>
        <v>683246.94527539623</v>
      </c>
      <c r="J863" s="469">
        <f t="shared" si="130"/>
        <v>5875711.4176010117</v>
      </c>
      <c r="K863" s="469">
        <f t="shared" si="130"/>
        <v>407398.65900022525</v>
      </c>
      <c r="L863" s="469">
        <f t="shared" si="130"/>
        <v>3278491.7947246036</v>
      </c>
      <c r="M863" s="471">
        <f t="shared" si="130"/>
        <v>29301868.472398996</v>
      </c>
      <c r="N863" s="363">
        <f>G863-SUM(H863:M863)</f>
        <v>0</v>
      </c>
      <c r="O863" s="30"/>
      <c r="R863" s="545"/>
      <c r="S863" s="545"/>
      <c r="T863" s="545"/>
      <c r="V863" s="545"/>
      <c r="W863" s="545"/>
      <c r="X863" s="545"/>
      <c r="Y863" s="545"/>
      <c r="Z863" s="545"/>
      <c r="AB863" s="511"/>
      <c r="AC863" s="511"/>
    </row>
    <row r="864" spans="1:29" ht="13.5" thickBot="1" x14ac:dyDescent="0.25">
      <c r="A864" s="30"/>
      <c r="R864" s="41"/>
      <c r="S864" s="41"/>
      <c r="T864" s="41"/>
    </row>
    <row r="865" spans="1:6" x14ac:dyDescent="0.2">
      <c r="A865" s="30"/>
      <c r="B865" s="450" t="s">
        <v>3318</v>
      </c>
      <c r="C865" s="148" t="s">
        <v>1506</v>
      </c>
      <c r="D865" s="149">
        <v>105855061.72000004</v>
      </c>
      <c r="E865" s="149">
        <v>431350910.1299997</v>
      </c>
      <c r="F865" s="150">
        <v>1609973202.2599981</v>
      </c>
    </row>
    <row r="866" spans="1:6" ht="13.5" thickBot="1" x14ac:dyDescent="0.25">
      <c r="A866" s="30"/>
      <c r="C866" s="151"/>
      <c r="D866" s="168">
        <f>D865-D860</f>
        <v>0</v>
      </c>
      <c r="E866" s="168">
        <f>E865-E860</f>
        <v>0</v>
      </c>
      <c r="F866" s="169">
        <f>F865-F860</f>
        <v>0</v>
      </c>
    </row>
  </sheetData>
  <autoFilter ref="A8:AC860"/>
  <mergeCells count="4">
    <mergeCell ref="A862:B863"/>
    <mergeCell ref="A5:A7"/>
    <mergeCell ref="B5:B7"/>
    <mergeCell ref="H5:J5"/>
  </mergeCells>
  <phoneticPr fontId="24" type="noConversion"/>
  <conditionalFormatting sqref="B72">
    <cfRule type="cellIs" dxfId="12" priority="1" stopIfTrue="1" operator="equal">
      <formula>$B62</formula>
    </cfRule>
  </conditionalFormatting>
  <printOptions horizontalCentered="1"/>
  <pageMargins left="0.41" right="0.3" top="0.42" bottom="0.49" header="0.26" footer="0.17"/>
  <pageSetup scale="52" fitToWidth="2" fitToHeight="0" orientation="landscape" r:id="rId1"/>
  <headerFooter alignWithMargins="0">
    <oddHeader>&amp;RTO8 Annual Update (Revised)
Attachment 2
WP‐Schedule 7-2011 Plant Study
Page &amp;P of &amp;N</oddHeader>
    <oddFooter>&amp;C&amp;A</oddFooter>
  </headerFooter>
  <colBreaks count="1" manualBreakCount="1">
    <brk id="13" max="86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HA133"/>
  <sheetViews>
    <sheetView showGridLines="0" zoomScale="70" zoomScaleNormal="70" workbookViewId="0">
      <selection activeCell="C13" sqref="C13"/>
    </sheetView>
  </sheetViews>
  <sheetFormatPr defaultRowHeight="15" x14ac:dyDescent="0.25"/>
  <cols>
    <col min="1" max="1" width="20" style="57" bestFit="1" customWidth="1"/>
    <col min="2" max="2" width="13" style="56" customWidth="1"/>
    <col min="3" max="3" width="12.42578125" style="55" customWidth="1"/>
    <col min="4" max="4" width="13.5703125" style="55" customWidth="1"/>
    <col min="5" max="5" width="10.140625" style="55" customWidth="1"/>
    <col min="6" max="8" width="13.5703125" style="55" customWidth="1"/>
    <col min="9" max="9" width="17.7109375" style="55" customWidth="1"/>
    <col min="10" max="11" width="14.5703125" style="55" customWidth="1"/>
    <col min="12" max="12" width="17" style="55" customWidth="1"/>
    <col min="13" max="13" width="17.7109375" style="55" customWidth="1"/>
    <col min="14" max="14" width="16.140625" style="55" customWidth="1"/>
    <col min="15" max="15" width="9.5703125" style="55" customWidth="1"/>
    <col min="16" max="16" width="10" style="55" customWidth="1"/>
    <col min="17" max="17" width="15.28515625" style="55" customWidth="1"/>
    <col min="18" max="18" width="9.7109375" style="55" customWidth="1"/>
    <col min="19" max="19" width="11.5703125" style="55" customWidth="1"/>
    <col min="20" max="20" width="12.42578125" style="55" customWidth="1"/>
    <col min="21" max="21" width="15.28515625" style="55" customWidth="1"/>
    <col min="22" max="22" width="12.42578125" style="55" customWidth="1"/>
    <col min="23" max="24" width="13.5703125" style="55" customWidth="1"/>
    <col min="25" max="25" width="15.28515625" style="55" customWidth="1"/>
    <col min="26" max="26" width="16" style="55" customWidth="1"/>
    <col min="27" max="16384" width="9.140625" style="57"/>
  </cols>
  <sheetData>
    <row r="1" spans="1:28" ht="15.75" x14ac:dyDescent="0.25">
      <c r="A1" s="674" t="s">
        <v>3352</v>
      </c>
      <c r="B1" s="663"/>
      <c r="C1" s="821" t="s">
        <v>1425</v>
      </c>
      <c r="D1" s="821"/>
      <c r="E1" s="821"/>
      <c r="F1" s="821"/>
      <c r="G1" s="821" t="s">
        <v>1425</v>
      </c>
      <c r="H1" s="821"/>
      <c r="I1" s="821"/>
      <c r="J1" s="821"/>
      <c r="K1" s="821" t="s">
        <v>1425</v>
      </c>
      <c r="L1" s="821"/>
      <c r="M1" s="821"/>
      <c r="N1" s="821"/>
      <c r="O1" s="821" t="s">
        <v>1425</v>
      </c>
      <c r="P1" s="821"/>
      <c r="Q1" s="821"/>
      <c r="R1" s="821"/>
      <c r="S1" s="821" t="s">
        <v>1425</v>
      </c>
      <c r="T1" s="821"/>
      <c r="U1" s="821"/>
      <c r="V1" s="821"/>
      <c r="W1" s="821" t="s">
        <v>1425</v>
      </c>
      <c r="X1" s="821"/>
      <c r="Y1" s="821"/>
      <c r="Z1" s="821"/>
    </row>
    <row r="2" spans="1:28" x14ac:dyDescent="0.25">
      <c r="A2" s="670" t="s">
        <v>3345</v>
      </c>
      <c r="B2" s="663"/>
      <c r="C2" s="818">
        <v>350</v>
      </c>
      <c r="D2" s="819"/>
      <c r="E2" s="819"/>
      <c r="F2" s="820"/>
      <c r="G2" s="818">
        <v>352</v>
      </c>
      <c r="H2" s="819"/>
      <c r="I2" s="819"/>
      <c r="J2" s="820"/>
      <c r="K2" s="818">
        <v>353</v>
      </c>
      <c r="L2" s="819"/>
      <c r="M2" s="819"/>
      <c r="N2" s="820"/>
      <c r="O2" s="818">
        <v>360</v>
      </c>
      <c r="P2" s="819"/>
      <c r="Q2" s="819"/>
      <c r="R2" s="820"/>
      <c r="S2" s="818">
        <v>361</v>
      </c>
      <c r="T2" s="819"/>
      <c r="U2" s="819"/>
      <c r="V2" s="820"/>
      <c r="W2" s="818">
        <v>362</v>
      </c>
      <c r="X2" s="819"/>
      <c r="Y2" s="819"/>
      <c r="Z2" s="820"/>
    </row>
    <row r="3" spans="1:28" x14ac:dyDescent="0.25">
      <c r="A3" s="663" t="s">
        <v>1264</v>
      </c>
      <c r="B3" s="663" t="s">
        <v>1265</v>
      </c>
      <c r="C3" s="675" t="s">
        <v>1426</v>
      </c>
      <c r="D3" s="675" t="s">
        <v>1427</v>
      </c>
      <c r="E3" s="675" t="s">
        <v>1266</v>
      </c>
      <c r="F3" s="675" t="s">
        <v>1428</v>
      </c>
      <c r="G3" s="675" t="s">
        <v>1426</v>
      </c>
      <c r="H3" s="675" t="s">
        <v>1427</v>
      </c>
      <c r="I3" s="675" t="s">
        <v>1266</v>
      </c>
      <c r="J3" s="675" t="s">
        <v>1428</v>
      </c>
      <c r="K3" s="675" t="s">
        <v>1426</v>
      </c>
      <c r="L3" s="675" t="s">
        <v>1427</v>
      </c>
      <c r="M3" s="675" t="s">
        <v>1266</v>
      </c>
      <c r="N3" s="675" t="s">
        <v>1428</v>
      </c>
      <c r="O3" s="675" t="s">
        <v>1426</v>
      </c>
      <c r="P3" s="675" t="s">
        <v>1427</v>
      </c>
      <c r="Q3" s="675" t="s">
        <v>1266</v>
      </c>
      <c r="R3" s="675" t="s">
        <v>1428</v>
      </c>
      <c r="S3" s="675" t="s">
        <v>1426</v>
      </c>
      <c r="T3" s="675" t="s">
        <v>1427</v>
      </c>
      <c r="U3" s="675" t="s">
        <v>1266</v>
      </c>
      <c r="V3" s="675" t="s">
        <v>1428</v>
      </c>
      <c r="W3" s="675" t="s">
        <v>1426</v>
      </c>
      <c r="X3" s="675" t="s">
        <v>1427</v>
      </c>
      <c r="Y3" s="675" t="s">
        <v>1266</v>
      </c>
      <c r="Z3" s="675" t="s">
        <v>1428</v>
      </c>
    </row>
    <row r="4" spans="1:28" x14ac:dyDescent="0.25">
      <c r="A4" s="58" t="s">
        <v>1267</v>
      </c>
      <c r="B4" s="117">
        <v>5067</v>
      </c>
      <c r="C4" s="60">
        <v>248793.39629457137</v>
      </c>
      <c r="D4" s="60">
        <v>36752.703705428634</v>
      </c>
      <c r="E4" s="60">
        <v>0</v>
      </c>
      <c r="F4" s="60"/>
      <c r="G4" s="60">
        <v>7278131.3661367567</v>
      </c>
      <c r="H4" s="60">
        <v>1074510.1738632433</v>
      </c>
      <c r="I4" s="60">
        <v>0</v>
      </c>
      <c r="J4" s="493"/>
      <c r="K4" s="60">
        <v>131732887.31865869</v>
      </c>
      <c r="L4" s="60">
        <v>14965938.35134132</v>
      </c>
      <c r="M4" s="60">
        <v>0</v>
      </c>
      <c r="N4" s="60"/>
      <c r="O4" s="60">
        <v>0</v>
      </c>
      <c r="P4" s="60">
        <v>0</v>
      </c>
      <c r="Q4" s="60">
        <v>0</v>
      </c>
      <c r="R4" s="60"/>
      <c r="S4" s="60">
        <v>0</v>
      </c>
      <c r="T4" s="60">
        <v>0</v>
      </c>
      <c r="U4" s="60">
        <v>0</v>
      </c>
      <c r="V4" s="60"/>
      <c r="W4" s="60">
        <v>81459.31</v>
      </c>
      <c r="X4" s="60">
        <v>4506819.6399999997</v>
      </c>
      <c r="Y4" s="60">
        <v>0</v>
      </c>
      <c r="Z4" s="461"/>
      <c r="AA4" s="461"/>
      <c r="AB4" s="461"/>
    </row>
    <row r="5" spans="1:28" x14ac:dyDescent="0.25">
      <c r="A5" s="58" t="s">
        <v>1268</v>
      </c>
      <c r="B5" s="117">
        <v>5090</v>
      </c>
      <c r="C5" s="60">
        <v>13182.65</v>
      </c>
      <c r="D5" s="60">
        <v>0</v>
      </c>
      <c r="E5" s="60">
        <v>0</v>
      </c>
      <c r="F5" s="60"/>
      <c r="G5" s="60">
        <v>2756644.51</v>
      </c>
      <c r="H5" s="60">
        <v>0</v>
      </c>
      <c r="I5" s="60">
        <v>0</v>
      </c>
      <c r="J5" s="493"/>
      <c r="K5" s="60">
        <v>64092925.969999999</v>
      </c>
      <c r="L5" s="60">
        <v>0</v>
      </c>
      <c r="M5" s="60">
        <v>0</v>
      </c>
      <c r="N5" s="60"/>
      <c r="O5" s="60">
        <v>0</v>
      </c>
      <c r="P5" s="60">
        <v>0</v>
      </c>
      <c r="Q5" s="60">
        <v>0</v>
      </c>
      <c r="R5" s="60"/>
      <c r="S5" s="60">
        <v>0</v>
      </c>
      <c r="T5" s="60">
        <v>0</v>
      </c>
      <c r="U5" s="60">
        <v>0</v>
      </c>
      <c r="V5" s="60"/>
      <c r="W5" s="60">
        <v>26595.450000000004</v>
      </c>
      <c r="X5" s="60">
        <v>0</v>
      </c>
      <c r="Y5" s="60">
        <v>0</v>
      </c>
      <c r="Z5" s="461"/>
      <c r="AA5" s="461"/>
      <c r="AB5" s="461"/>
    </row>
    <row r="6" spans="1:28" collapsed="1" x14ac:dyDescent="0.25">
      <c r="A6" s="57" t="s">
        <v>1269</v>
      </c>
      <c r="B6" s="117">
        <v>5043</v>
      </c>
      <c r="C6" s="60">
        <v>230.3486677304808</v>
      </c>
      <c r="D6" s="60">
        <v>1593.6113322695192</v>
      </c>
      <c r="E6" s="60">
        <v>0</v>
      </c>
      <c r="F6" s="60"/>
      <c r="G6" s="60">
        <v>2162.4543807003538</v>
      </c>
      <c r="H6" s="60">
        <v>14960.415619299645</v>
      </c>
      <c r="I6" s="60">
        <v>0</v>
      </c>
      <c r="J6" s="493"/>
      <c r="K6" s="60">
        <v>365680.02677003818</v>
      </c>
      <c r="L6" s="60">
        <v>2529868.4832299617</v>
      </c>
      <c r="M6" s="60">
        <v>0</v>
      </c>
      <c r="N6" s="60"/>
      <c r="O6" s="60">
        <v>0</v>
      </c>
      <c r="P6" s="60">
        <v>0</v>
      </c>
      <c r="Q6" s="60">
        <v>0</v>
      </c>
      <c r="R6" s="60"/>
      <c r="S6" s="60">
        <v>0</v>
      </c>
      <c r="T6" s="60">
        <v>0</v>
      </c>
      <c r="U6" s="60">
        <v>0</v>
      </c>
      <c r="V6" s="60"/>
      <c r="W6" s="60">
        <v>0</v>
      </c>
      <c r="X6" s="60">
        <v>0</v>
      </c>
      <c r="Y6" s="60">
        <v>0</v>
      </c>
      <c r="Z6" s="461"/>
      <c r="AA6" s="461"/>
      <c r="AB6" s="461"/>
    </row>
    <row r="7" spans="1:28" collapsed="1" x14ac:dyDescent="0.25">
      <c r="A7" s="57" t="s">
        <v>1270</v>
      </c>
      <c r="B7" s="117">
        <v>5069</v>
      </c>
      <c r="C7" s="60">
        <v>381928.44123324734</v>
      </c>
      <c r="D7" s="60">
        <v>95347.778766752672</v>
      </c>
      <c r="E7" s="60">
        <v>0</v>
      </c>
      <c r="F7" s="60"/>
      <c r="G7" s="60">
        <v>10307489.370297661</v>
      </c>
      <c r="H7" s="60">
        <v>2522883.349702341</v>
      </c>
      <c r="I7" s="60">
        <v>0</v>
      </c>
      <c r="J7" s="493"/>
      <c r="K7" s="60">
        <v>121153520.88006535</v>
      </c>
      <c r="L7" s="60">
        <v>30296131.819934692</v>
      </c>
      <c r="M7" s="60">
        <v>0</v>
      </c>
      <c r="N7" s="60"/>
      <c r="O7" s="60">
        <v>0</v>
      </c>
      <c r="P7" s="60">
        <v>0</v>
      </c>
      <c r="Q7" s="60">
        <v>0</v>
      </c>
      <c r="R7" s="60"/>
      <c r="S7" s="60">
        <v>0</v>
      </c>
      <c r="T7" s="60">
        <v>0</v>
      </c>
      <c r="U7" s="60">
        <v>0</v>
      </c>
      <c r="V7" s="60"/>
      <c r="W7" s="60">
        <v>-0.16</v>
      </c>
      <c r="X7" s="60">
        <v>0</v>
      </c>
      <c r="Y7" s="60">
        <v>0</v>
      </c>
      <c r="Z7" s="461"/>
      <c r="AA7" s="461"/>
      <c r="AB7" s="461"/>
    </row>
    <row r="8" spans="1:28" x14ac:dyDescent="0.25">
      <c r="A8" s="662" t="s">
        <v>445</v>
      </c>
      <c r="B8" s="664">
        <v>5045</v>
      </c>
      <c r="C8" s="60"/>
      <c r="D8" s="60"/>
      <c r="E8" s="60"/>
      <c r="F8" s="60"/>
      <c r="G8" s="60"/>
      <c r="H8" s="60"/>
      <c r="I8" s="60"/>
      <c r="J8" s="493"/>
      <c r="K8" s="60"/>
      <c r="L8" s="60"/>
      <c r="M8" s="60"/>
      <c r="N8" s="60"/>
      <c r="O8" s="60"/>
      <c r="P8" s="60"/>
      <c r="Q8" s="60"/>
      <c r="R8" s="60"/>
      <c r="S8" s="60"/>
      <c r="T8" s="60"/>
      <c r="U8" s="60"/>
      <c r="V8" s="60"/>
      <c r="W8" s="60"/>
      <c r="X8" s="60"/>
      <c r="Y8" s="60"/>
      <c r="Z8" s="461"/>
      <c r="AA8" s="461"/>
      <c r="AB8" s="461"/>
    </row>
    <row r="9" spans="1:28" x14ac:dyDescent="0.25">
      <c r="A9" s="662" t="s">
        <v>446</v>
      </c>
      <c r="B9" s="664">
        <v>1320</v>
      </c>
      <c r="C9" s="60"/>
      <c r="D9" s="60"/>
      <c r="E9" s="60"/>
      <c r="F9" s="60"/>
      <c r="G9" s="60"/>
      <c r="H9" s="60"/>
      <c r="I9" s="60"/>
      <c r="J9" s="493"/>
      <c r="K9" s="60"/>
      <c r="L9" s="60"/>
      <c r="M9" s="60"/>
      <c r="N9" s="60"/>
      <c r="O9" s="60"/>
      <c r="P9" s="60"/>
      <c r="Q9" s="60"/>
      <c r="R9" s="60"/>
      <c r="S9" s="60"/>
      <c r="T9" s="60"/>
      <c r="U9" s="60"/>
      <c r="V9" s="60"/>
      <c r="W9" s="60"/>
      <c r="X9" s="60"/>
      <c r="Y9" s="60"/>
      <c r="Z9" s="461"/>
      <c r="AA9" s="461"/>
      <c r="AB9" s="461"/>
    </row>
    <row r="10" spans="1:28" x14ac:dyDescent="0.25">
      <c r="A10" s="670" t="s">
        <v>3346</v>
      </c>
      <c r="B10" s="664">
        <v>5365</v>
      </c>
      <c r="C10" s="60"/>
      <c r="D10" s="60"/>
      <c r="E10" s="60"/>
      <c r="F10" s="60"/>
      <c r="G10" s="60"/>
      <c r="H10" s="60"/>
      <c r="I10" s="60"/>
      <c r="J10" s="493"/>
      <c r="K10" s="60"/>
      <c r="L10" s="60"/>
      <c r="M10" s="60"/>
      <c r="N10" s="60"/>
      <c r="O10" s="60"/>
      <c r="P10" s="60"/>
      <c r="Q10" s="60"/>
      <c r="R10" s="60"/>
      <c r="S10" s="60"/>
      <c r="T10" s="60"/>
      <c r="U10" s="60"/>
      <c r="V10" s="60"/>
      <c r="W10" s="60"/>
      <c r="X10" s="60"/>
      <c r="Y10" s="60"/>
      <c r="Z10" s="461"/>
      <c r="AA10" s="461"/>
      <c r="AB10" s="461"/>
    </row>
    <row r="11" spans="1:28" collapsed="1" x14ac:dyDescent="0.25">
      <c r="A11" s="662" t="s">
        <v>1271</v>
      </c>
      <c r="B11" s="663" t="s">
        <v>1342</v>
      </c>
      <c r="C11" s="60">
        <v>132175.36224559104</v>
      </c>
      <c r="D11" s="60">
        <v>2184.837754408954</v>
      </c>
      <c r="E11" s="60">
        <v>0</v>
      </c>
      <c r="F11" s="60"/>
      <c r="G11" s="60">
        <v>6545404.1574478745</v>
      </c>
      <c r="H11" s="60">
        <v>107522.48255212441</v>
      </c>
      <c r="I11" s="60">
        <v>0</v>
      </c>
      <c r="J11" s="493"/>
      <c r="K11" s="60">
        <v>111020615.84609683</v>
      </c>
      <c r="L11" s="60">
        <v>1835825.1639031512</v>
      </c>
      <c r="M11" s="60">
        <v>0</v>
      </c>
      <c r="N11" s="60"/>
      <c r="O11" s="60">
        <v>0</v>
      </c>
      <c r="P11" s="60">
        <v>0</v>
      </c>
      <c r="Q11" s="60">
        <v>0</v>
      </c>
      <c r="R11" s="60"/>
      <c r="S11" s="60">
        <v>0</v>
      </c>
      <c r="T11" s="60">
        <v>0</v>
      </c>
      <c r="U11" s="60">
        <v>0</v>
      </c>
      <c r="V11" s="60"/>
      <c r="W11" s="60">
        <v>0</v>
      </c>
      <c r="X11" s="60">
        <v>0</v>
      </c>
      <c r="Y11" s="60">
        <v>0</v>
      </c>
      <c r="Z11" s="461"/>
      <c r="AA11" s="461"/>
      <c r="AB11" s="461"/>
    </row>
    <row r="12" spans="1:28" collapsed="1" x14ac:dyDescent="0.25">
      <c r="A12" s="57" t="s">
        <v>1343</v>
      </c>
      <c r="B12" s="117">
        <v>5081</v>
      </c>
      <c r="C12" s="60">
        <v>15880.155943971124</v>
      </c>
      <c r="D12" s="60">
        <v>70307.754056028876</v>
      </c>
      <c r="E12" s="60">
        <v>0</v>
      </c>
      <c r="F12" s="60"/>
      <c r="G12" s="60">
        <v>255834.04010393136</v>
      </c>
      <c r="H12" s="60">
        <v>1137843.6198960689</v>
      </c>
      <c r="I12" s="60">
        <v>0</v>
      </c>
      <c r="J12" s="493"/>
      <c r="K12" s="60">
        <v>8103161.0922170812</v>
      </c>
      <c r="L12" s="60">
        <v>35870745.967782922</v>
      </c>
      <c r="M12" s="60">
        <v>0</v>
      </c>
      <c r="N12" s="60"/>
      <c r="O12" s="60">
        <v>0</v>
      </c>
      <c r="P12" s="60">
        <v>0</v>
      </c>
      <c r="Q12" s="60">
        <v>0</v>
      </c>
      <c r="R12" s="60"/>
      <c r="S12" s="60">
        <v>2443.3038733471249</v>
      </c>
      <c r="T12" s="60">
        <v>10817.476126652877</v>
      </c>
      <c r="U12" s="60">
        <v>0</v>
      </c>
      <c r="V12" s="60"/>
      <c r="W12" s="60">
        <v>0</v>
      </c>
      <c r="X12" s="60">
        <v>0</v>
      </c>
      <c r="Y12" s="60">
        <v>0</v>
      </c>
      <c r="Z12" s="461"/>
      <c r="AA12" s="461"/>
      <c r="AB12" s="461"/>
    </row>
    <row r="13" spans="1:28" collapsed="1" x14ac:dyDescent="0.25">
      <c r="A13" s="57" t="s">
        <v>1344</v>
      </c>
      <c r="B13" s="117">
        <v>5084</v>
      </c>
      <c r="C13" s="60">
        <v>14072.350099194338</v>
      </c>
      <c r="D13" s="60">
        <v>58180.819900805669</v>
      </c>
      <c r="E13" s="60">
        <v>0</v>
      </c>
      <c r="F13" s="60"/>
      <c r="G13" s="60">
        <v>675644.25049724837</v>
      </c>
      <c r="H13" s="60">
        <v>2808745.0295027522</v>
      </c>
      <c r="I13" s="60">
        <v>0</v>
      </c>
      <c r="J13" s="493"/>
      <c r="K13" s="60">
        <v>6226020.0119151939</v>
      </c>
      <c r="L13" s="60">
        <v>25725373.518084813</v>
      </c>
      <c r="M13" s="60">
        <v>0</v>
      </c>
      <c r="N13" s="60"/>
      <c r="O13" s="60">
        <v>0</v>
      </c>
      <c r="P13" s="60">
        <v>0</v>
      </c>
      <c r="Q13" s="60">
        <v>0</v>
      </c>
      <c r="R13" s="60"/>
      <c r="S13" s="60">
        <v>0</v>
      </c>
      <c r="T13" s="60">
        <v>0</v>
      </c>
      <c r="U13" s="60">
        <v>0</v>
      </c>
      <c r="V13" s="60"/>
      <c r="W13" s="60">
        <v>0</v>
      </c>
      <c r="X13" s="60">
        <v>169.09</v>
      </c>
      <c r="Y13" s="60">
        <v>0</v>
      </c>
      <c r="Z13" s="461"/>
      <c r="AA13" s="461"/>
      <c r="AB13" s="461"/>
    </row>
    <row r="14" spans="1:28" collapsed="1" x14ac:dyDescent="0.25">
      <c r="A14" s="57" t="s">
        <v>1345</v>
      </c>
      <c r="B14" s="117">
        <v>8063</v>
      </c>
      <c r="C14" s="60">
        <v>0</v>
      </c>
      <c r="D14" s="60">
        <v>0</v>
      </c>
      <c r="E14" s="60">
        <v>0</v>
      </c>
      <c r="F14" s="60"/>
      <c r="G14" s="60">
        <v>59734.168349336418</v>
      </c>
      <c r="H14" s="60">
        <v>193841.33165066357</v>
      </c>
      <c r="I14" s="60">
        <v>0</v>
      </c>
      <c r="J14" s="493"/>
      <c r="K14" s="60">
        <v>3630204.287969566</v>
      </c>
      <c r="L14" s="60">
        <v>11780253.292030422</v>
      </c>
      <c r="M14" s="60">
        <v>0</v>
      </c>
      <c r="N14" s="60"/>
      <c r="O14" s="60">
        <v>0</v>
      </c>
      <c r="P14" s="60">
        <v>0</v>
      </c>
      <c r="Q14" s="60">
        <v>0</v>
      </c>
      <c r="R14" s="60"/>
      <c r="S14" s="60">
        <v>0</v>
      </c>
      <c r="T14" s="60">
        <v>0</v>
      </c>
      <c r="U14" s="60">
        <v>0</v>
      </c>
      <c r="V14" s="60"/>
      <c r="W14" s="60">
        <v>0</v>
      </c>
      <c r="X14" s="60">
        <v>0</v>
      </c>
      <c r="Y14" s="60">
        <v>0</v>
      </c>
      <c r="Z14" s="461"/>
      <c r="AA14" s="461"/>
      <c r="AB14" s="461"/>
    </row>
    <row r="15" spans="1:28" collapsed="1" x14ac:dyDescent="0.25">
      <c r="A15" s="57" t="s">
        <v>1346</v>
      </c>
      <c r="B15" s="117">
        <v>5062</v>
      </c>
      <c r="C15" s="60">
        <v>8320.2457641169785</v>
      </c>
      <c r="D15" s="60">
        <v>26144.354235883027</v>
      </c>
      <c r="E15" s="60">
        <v>0</v>
      </c>
      <c r="F15" s="60"/>
      <c r="G15" s="60">
        <v>574440.7712550296</v>
      </c>
      <c r="H15" s="60">
        <v>1883262.8887449708</v>
      </c>
      <c r="I15" s="60">
        <v>0</v>
      </c>
      <c r="J15" s="493"/>
      <c r="K15" s="60">
        <v>8725618.4179796092</v>
      </c>
      <c r="L15" s="60">
        <v>27339679.662020389</v>
      </c>
      <c r="M15" s="60">
        <v>0</v>
      </c>
      <c r="N15" s="60"/>
      <c r="O15" s="60">
        <v>0</v>
      </c>
      <c r="P15" s="60">
        <v>0</v>
      </c>
      <c r="Q15" s="60">
        <v>0</v>
      </c>
      <c r="R15" s="60"/>
      <c r="S15" s="60">
        <v>0</v>
      </c>
      <c r="T15" s="60">
        <v>0</v>
      </c>
      <c r="U15" s="60">
        <v>0</v>
      </c>
      <c r="V15" s="60"/>
      <c r="W15" s="60">
        <v>-57.388885702655294</v>
      </c>
      <c r="X15" s="60">
        <v>57.388885702655301</v>
      </c>
      <c r="Y15" s="60">
        <v>0</v>
      </c>
      <c r="Z15" s="461"/>
      <c r="AA15" s="461"/>
      <c r="AB15" s="461"/>
    </row>
    <row r="16" spans="1:28" collapsed="1" x14ac:dyDescent="0.25">
      <c r="A16" s="57" t="s">
        <v>1347</v>
      </c>
      <c r="B16" s="117">
        <v>5075</v>
      </c>
      <c r="C16" s="60">
        <v>48620.621923627659</v>
      </c>
      <c r="D16" s="60">
        <v>137361.5180763723</v>
      </c>
      <c r="E16" s="60">
        <v>0</v>
      </c>
      <c r="F16" s="60"/>
      <c r="G16" s="60">
        <v>211779.78002050592</v>
      </c>
      <c r="H16" s="60">
        <v>503046.56997949409</v>
      </c>
      <c r="I16" s="60">
        <v>0</v>
      </c>
      <c r="J16" s="493"/>
      <c r="K16" s="60">
        <v>11585241.499755004</v>
      </c>
      <c r="L16" s="60">
        <v>32825542.980244994</v>
      </c>
      <c r="M16" s="60">
        <v>0</v>
      </c>
      <c r="N16" s="60"/>
      <c r="O16" s="60">
        <v>0</v>
      </c>
      <c r="P16" s="60">
        <v>0</v>
      </c>
      <c r="Q16" s="60">
        <v>0</v>
      </c>
      <c r="R16" s="60"/>
      <c r="S16" s="60">
        <v>0</v>
      </c>
      <c r="T16" s="60">
        <v>0</v>
      </c>
      <c r="U16" s="60">
        <v>0</v>
      </c>
      <c r="V16" s="60"/>
      <c r="W16" s="60">
        <v>0</v>
      </c>
      <c r="X16" s="60">
        <v>0</v>
      </c>
      <c r="Y16" s="60">
        <v>0</v>
      </c>
      <c r="Z16" s="461"/>
      <c r="AA16" s="461"/>
      <c r="AB16" s="461"/>
    </row>
    <row r="17" spans="1:28" collapsed="1" x14ac:dyDescent="0.25">
      <c r="A17" s="57" t="s">
        <v>1348</v>
      </c>
      <c r="B17" s="117">
        <v>5011</v>
      </c>
      <c r="C17" s="60">
        <v>4626.1672313667241</v>
      </c>
      <c r="D17" s="60">
        <v>14987.032768633275</v>
      </c>
      <c r="E17" s="60">
        <v>0</v>
      </c>
      <c r="F17" s="60"/>
      <c r="G17" s="60">
        <v>244602.65603972721</v>
      </c>
      <c r="H17" s="60">
        <v>782422.85396027286</v>
      </c>
      <c r="I17" s="60">
        <v>0</v>
      </c>
      <c r="J17" s="493"/>
      <c r="K17" s="60">
        <v>4428342.5719830878</v>
      </c>
      <c r="L17" s="60">
        <v>14356152.938016914</v>
      </c>
      <c r="M17" s="60">
        <v>0</v>
      </c>
      <c r="N17" s="60"/>
      <c r="O17" s="60">
        <v>0</v>
      </c>
      <c r="P17" s="60">
        <v>0</v>
      </c>
      <c r="Q17" s="60">
        <v>0</v>
      </c>
      <c r="R17" s="60"/>
      <c r="S17" s="60">
        <v>0</v>
      </c>
      <c r="T17" s="60">
        <v>0</v>
      </c>
      <c r="U17" s="60">
        <v>0</v>
      </c>
      <c r="V17" s="60"/>
      <c r="W17" s="60">
        <v>0</v>
      </c>
      <c r="X17" s="60">
        <v>0</v>
      </c>
      <c r="Y17" s="60">
        <v>0</v>
      </c>
      <c r="Z17" s="461"/>
      <c r="AA17" s="461"/>
      <c r="AB17" s="461"/>
    </row>
    <row r="18" spans="1:28" collapsed="1" x14ac:dyDescent="0.25">
      <c r="A18" s="57" t="s">
        <v>1349</v>
      </c>
      <c r="B18" s="117">
        <v>5023</v>
      </c>
      <c r="C18" s="60">
        <v>54342.427400787361</v>
      </c>
      <c r="D18" s="60">
        <v>231277.46259921259</v>
      </c>
      <c r="E18" s="60">
        <v>0</v>
      </c>
      <c r="F18" s="60"/>
      <c r="G18" s="60">
        <v>631548.75614124839</v>
      </c>
      <c r="H18" s="60">
        <v>2687826.0838587512</v>
      </c>
      <c r="I18" s="60">
        <v>0</v>
      </c>
      <c r="J18" s="493"/>
      <c r="K18" s="60">
        <v>4205463.1308049513</v>
      </c>
      <c r="L18" s="60">
        <v>17898148.619195051</v>
      </c>
      <c r="M18" s="60">
        <v>0</v>
      </c>
      <c r="N18" s="60"/>
      <c r="O18" s="60">
        <v>0</v>
      </c>
      <c r="P18" s="60">
        <v>0</v>
      </c>
      <c r="Q18" s="60">
        <v>0</v>
      </c>
      <c r="R18" s="60"/>
      <c r="S18" s="60">
        <v>1346.8658427219329</v>
      </c>
      <c r="T18" s="60">
        <v>5732.1641572780663</v>
      </c>
      <c r="U18" s="60">
        <v>0</v>
      </c>
      <c r="V18" s="60"/>
      <c r="W18" s="60">
        <v>0</v>
      </c>
      <c r="X18" s="60">
        <v>0</v>
      </c>
      <c r="Y18" s="60">
        <v>0</v>
      </c>
      <c r="Z18" s="461"/>
      <c r="AA18" s="461"/>
      <c r="AB18" s="461"/>
    </row>
    <row r="19" spans="1:28" collapsed="1" x14ac:dyDescent="0.25">
      <c r="A19" s="676" t="s">
        <v>1025</v>
      </c>
      <c r="B19" s="677" t="s">
        <v>1350</v>
      </c>
      <c r="C19" s="455"/>
      <c r="D19" s="455"/>
      <c r="E19" s="455"/>
      <c r="F19" s="60"/>
      <c r="G19" s="455"/>
      <c r="H19" s="455"/>
      <c r="I19" s="455"/>
      <c r="J19" s="494"/>
      <c r="K19" s="455"/>
      <c r="L19" s="455"/>
      <c r="M19" s="455"/>
      <c r="N19" s="455"/>
      <c r="O19" s="455"/>
      <c r="P19" s="455"/>
      <c r="Q19" s="455"/>
      <c r="R19" s="455"/>
      <c r="S19" s="455"/>
      <c r="T19" s="455"/>
      <c r="U19" s="455"/>
      <c r="V19" s="455"/>
      <c r="W19" s="455"/>
      <c r="X19" s="455"/>
      <c r="Y19" s="455"/>
      <c r="Z19" s="461"/>
      <c r="AA19" s="461"/>
      <c r="AB19" s="461"/>
    </row>
    <row r="20" spans="1:28" collapsed="1" x14ac:dyDescent="0.25">
      <c r="A20" s="57" t="s">
        <v>1351</v>
      </c>
      <c r="B20" s="117">
        <v>5086</v>
      </c>
      <c r="C20" s="60">
        <v>10238.698805268556</v>
      </c>
      <c r="D20" s="60">
        <v>45657.08592070482</v>
      </c>
      <c r="E20" s="60">
        <v>3841.5152740266353</v>
      </c>
      <c r="F20" s="60"/>
      <c r="G20" s="60">
        <v>226680.98208811146</v>
      </c>
      <c r="H20" s="60">
        <v>955499.2467351252</v>
      </c>
      <c r="I20" s="60">
        <v>80394.201176763672</v>
      </c>
      <c r="J20" s="493"/>
      <c r="K20" s="60">
        <v>7943188.2447340973</v>
      </c>
      <c r="L20" s="60">
        <v>35476124.375008859</v>
      </c>
      <c r="M20" s="60">
        <v>2984905.2102570403</v>
      </c>
      <c r="N20" s="60"/>
      <c r="O20" s="60">
        <v>0</v>
      </c>
      <c r="P20" s="60">
        <v>0</v>
      </c>
      <c r="Q20" s="60">
        <v>0</v>
      </c>
      <c r="R20" s="60"/>
      <c r="S20" s="60">
        <v>0</v>
      </c>
      <c r="T20" s="60">
        <v>0</v>
      </c>
      <c r="U20" s="60">
        <v>0</v>
      </c>
      <c r="V20" s="60"/>
      <c r="W20" s="60">
        <v>0</v>
      </c>
      <c r="X20" s="60">
        <v>0</v>
      </c>
      <c r="Y20" s="60">
        <v>0</v>
      </c>
      <c r="Z20" s="461"/>
      <c r="AA20" s="461"/>
      <c r="AB20" s="461"/>
    </row>
    <row r="21" spans="1:28" collapsed="1" x14ac:dyDescent="0.25">
      <c r="A21" s="57" t="s">
        <v>1026</v>
      </c>
      <c r="B21" s="59" t="s">
        <v>1352</v>
      </c>
      <c r="C21" s="60">
        <v>40847.598485576338</v>
      </c>
      <c r="D21" s="60">
        <v>145296.55151442363</v>
      </c>
      <c r="E21" s="60">
        <v>0</v>
      </c>
      <c r="F21" s="60"/>
      <c r="G21" s="60">
        <v>788978.34576033673</v>
      </c>
      <c r="H21" s="60">
        <v>2806492.9942396632</v>
      </c>
      <c r="I21" s="60">
        <v>0</v>
      </c>
      <c r="J21" s="493"/>
      <c r="K21" s="60">
        <v>10356989.476914385</v>
      </c>
      <c r="L21" s="60">
        <v>36839898.243085623</v>
      </c>
      <c r="M21" s="60">
        <v>0</v>
      </c>
      <c r="N21" s="60"/>
      <c r="O21" s="60">
        <v>0</v>
      </c>
      <c r="P21" s="60">
        <v>0</v>
      </c>
      <c r="Q21" s="60">
        <v>0</v>
      </c>
      <c r="R21" s="60"/>
      <c r="S21" s="60">
        <v>0</v>
      </c>
      <c r="T21" s="60">
        <v>0</v>
      </c>
      <c r="U21" s="60">
        <v>0</v>
      </c>
      <c r="V21" s="60"/>
      <c r="W21" s="60">
        <v>0</v>
      </c>
      <c r="X21" s="60">
        <v>264.82</v>
      </c>
      <c r="Y21" s="60">
        <v>0</v>
      </c>
      <c r="Z21" s="461"/>
      <c r="AA21" s="461"/>
      <c r="AB21" s="461"/>
    </row>
    <row r="22" spans="1:28" collapsed="1" x14ac:dyDescent="0.25">
      <c r="A22" s="57" t="s">
        <v>1353</v>
      </c>
      <c r="B22" s="117">
        <v>5055</v>
      </c>
      <c r="C22" s="357">
        <v>39103.887131764772</v>
      </c>
      <c r="D22" s="357">
        <v>197089.66286823523</v>
      </c>
      <c r="E22" s="357">
        <v>0</v>
      </c>
      <c r="F22" s="60"/>
      <c r="G22" s="357">
        <v>149088.58456507372</v>
      </c>
      <c r="H22" s="357">
        <v>751526.87543492625</v>
      </c>
      <c r="I22" s="357">
        <v>0</v>
      </c>
      <c r="J22" s="493"/>
      <c r="K22" s="357">
        <v>2771172.6334364708</v>
      </c>
      <c r="L22" s="357">
        <v>15700574.866563529</v>
      </c>
      <c r="M22" s="357">
        <v>0</v>
      </c>
      <c r="N22" s="357"/>
      <c r="O22" s="60">
        <v>0</v>
      </c>
      <c r="P22" s="60">
        <v>0</v>
      </c>
      <c r="Q22" s="60">
        <v>0</v>
      </c>
      <c r="R22" s="60"/>
      <c r="S22" s="60">
        <v>0</v>
      </c>
      <c r="T22" s="60">
        <v>0</v>
      </c>
      <c r="U22" s="60">
        <v>0</v>
      </c>
      <c r="V22" s="60"/>
      <c r="W22" s="60">
        <v>343944.12</v>
      </c>
      <c r="X22" s="60">
        <v>0</v>
      </c>
      <c r="Y22" s="60">
        <v>0</v>
      </c>
      <c r="Z22" s="461"/>
      <c r="AA22" s="461"/>
      <c r="AB22" s="461"/>
    </row>
    <row r="23" spans="1:28" collapsed="1" x14ac:dyDescent="0.25">
      <c r="A23" s="57" t="s">
        <v>1354</v>
      </c>
      <c r="B23" s="117">
        <v>5015</v>
      </c>
      <c r="C23" s="60">
        <v>13929.470959183678</v>
      </c>
      <c r="D23" s="60">
        <v>15370.829040816319</v>
      </c>
      <c r="E23" s="60">
        <v>0</v>
      </c>
      <c r="F23" s="60"/>
      <c r="G23" s="60">
        <v>258428.28524651274</v>
      </c>
      <c r="H23" s="60">
        <v>285169.26475348719</v>
      </c>
      <c r="I23" s="60">
        <v>0</v>
      </c>
      <c r="J23" s="493"/>
      <c r="K23" s="60">
        <v>9116848.4647913352</v>
      </c>
      <c r="L23" s="60">
        <v>10060218.335208666</v>
      </c>
      <c r="M23" s="60">
        <v>0</v>
      </c>
      <c r="N23" s="60"/>
      <c r="O23" s="60">
        <v>0</v>
      </c>
      <c r="P23" s="60">
        <v>0</v>
      </c>
      <c r="Q23" s="60">
        <v>0</v>
      </c>
      <c r="R23" s="60"/>
      <c r="S23" s="60">
        <v>0</v>
      </c>
      <c r="T23" s="60">
        <v>0</v>
      </c>
      <c r="U23" s="60">
        <v>0</v>
      </c>
      <c r="V23" s="60"/>
      <c r="W23" s="60">
        <v>0</v>
      </c>
      <c r="X23" s="60">
        <v>0</v>
      </c>
      <c r="Y23" s="60">
        <v>0</v>
      </c>
      <c r="Z23" s="461"/>
      <c r="AA23" s="461"/>
      <c r="AB23" s="461"/>
    </row>
    <row r="24" spans="1:28" collapsed="1" x14ac:dyDescent="0.25">
      <c r="A24" s="57" t="s">
        <v>1355</v>
      </c>
      <c r="B24" s="117">
        <v>5071</v>
      </c>
      <c r="C24" s="60">
        <v>159640.85647750608</v>
      </c>
      <c r="D24" s="60">
        <v>518636.68352249393</v>
      </c>
      <c r="E24" s="60">
        <v>0</v>
      </c>
      <c r="F24" s="60"/>
      <c r="G24" s="60">
        <v>129363.22765198936</v>
      </c>
      <c r="H24" s="60">
        <v>431250.67234801059</v>
      </c>
      <c r="I24" s="60">
        <v>0</v>
      </c>
      <c r="J24" s="493"/>
      <c r="K24" s="60">
        <v>5225013.7212363267</v>
      </c>
      <c r="L24" s="60">
        <v>16963897.188763674</v>
      </c>
      <c r="M24" s="60">
        <v>0</v>
      </c>
      <c r="N24" s="60"/>
      <c r="O24" s="60">
        <v>0</v>
      </c>
      <c r="P24" s="60">
        <v>0</v>
      </c>
      <c r="Q24" s="60">
        <v>0</v>
      </c>
      <c r="R24" s="60"/>
      <c r="S24" s="60">
        <v>0</v>
      </c>
      <c r="T24" s="60">
        <v>0</v>
      </c>
      <c r="U24" s="60">
        <v>0</v>
      </c>
      <c r="V24" s="60"/>
      <c r="W24" s="60">
        <v>0</v>
      </c>
      <c r="X24" s="60">
        <v>0</v>
      </c>
      <c r="Y24" s="60">
        <v>0</v>
      </c>
      <c r="Z24" s="461"/>
      <c r="AA24" s="461"/>
      <c r="AB24" s="461"/>
    </row>
    <row r="25" spans="1:28" collapsed="1" x14ac:dyDescent="0.25">
      <c r="A25" s="57" t="s">
        <v>1027</v>
      </c>
      <c r="B25" s="59" t="s">
        <v>1356</v>
      </c>
      <c r="C25" s="60">
        <v>58786.783767913425</v>
      </c>
      <c r="D25" s="60">
        <v>38426.436232086584</v>
      </c>
      <c r="E25" s="60">
        <v>0</v>
      </c>
      <c r="F25" s="60"/>
      <c r="G25" s="60">
        <v>800325.35017194541</v>
      </c>
      <c r="H25" s="60">
        <v>523138.85982805479</v>
      </c>
      <c r="I25" s="60">
        <v>0</v>
      </c>
      <c r="J25" s="60"/>
      <c r="K25" s="60">
        <v>3227701.4766759323</v>
      </c>
      <c r="L25" s="60">
        <v>2109812.053324068</v>
      </c>
      <c r="M25" s="60">
        <v>0</v>
      </c>
      <c r="N25" s="60"/>
      <c r="O25" s="60">
        <v>0</v>
      </c>
      <c r="P25" s="60">
        <v>0</v>
      </c>
      <c r="Q25" s="60">
        <v>0</v>
      </c>
      <c r="R25" s="60"/>
      <c r="S25" s="60">
        <v>0</v>
      </c>
      <c r="T25" s="60">
        <v>0</v>
      </c>
      <c r="U25" s="60">
        <v>0</v>
      </c>
      <c r="V25" s="60"/>
      <c r="W25" s="60">
        <v>0</v>
      </c>
      <c r="X25" s="60">
        <v>0</v>
      </c>
      <c r="Y25" s="60">
        <v>0</v>
      </c>
      <c r="Z25" s="461"/>
      <c r="AA25" s="461"/>
      <c r="AB25" s="461"/>
    </row>
    <row r="26" spans="1:28" collapsed="1" x14ac:dyDescent="0.25">
      <c r="A26" s="130" t="s">
        <v>1341</v>
      </c>
      <c r="B26" s="131" t="s">
        <v>1340</v>
      </c>
      <c r="C26" s="60">
        <v>254309.02839388486</v>
      </c>
      <c r="D26" s="60">
        <v>559107.02160611516</v>
      </c>
      <c r="E26" s="60">
        <v>0</v>
      </c>
      <c r="F26" s="60"/>
      <c r="G26" s="60">
        <v>1061320.6235823219</v>
      </c>
      <c r="H26" s="60">
        <v>2334371.7664176784</v>
      </c>
      <c r="I26" s="60">
        <v>0</v>
      </c>
      <c r="J26" s="60"/>
      <c r="K26" s="60">
        <v>5097496.9445331227</v>
      </c>
      <c r="L26" s="60">
        <v>9404340.2854668759</v>
      </c>
      <c r="M26" s="60">
        <v>0</v>
      </c>
      <c r="N26" s="60"/>
      <c r="O26" s="60">
        <v>0</v>
      </c>
      <c r="P26" s="60">
        <v>0</v>
      </c>
      <c r="Q26" s="60">
        <v>0</v>
      </c>
      <c r="R26" s="60"/>
      <c r="S26" s="60">
        <v>68317.671908538352</v>
      </c>
      <c r="T26" s="60">
        <v>151938.58809146169</v>
      </c>
      <c r="U26" s="60">
        <v>0</v>
      </c>
      <c r="V26" s="60"/>
      <c r="W26" s="60">
        <v>1241376.9689078578</v>
      </c>
      <c r="X26" s="60">
        <v>4529126.6810921421</v>
      </c>
      <c r="Y26" s="60">
        <v>0</v>
      </c>
      <c r="Z26" s="461"/>
      <c r="AA26" s="461"/>
      <c r="AB26" s="461"/>
    </row>
    <row r="27" spans="1:28" collapsed="1" x14ac:dyDescent="0.25">
      <c r="A27" s="57" t="s">
        <v>1357</v>
      </c>
      <c r="B27" s="117">
        <v>5024</v>
      </c>
      <c r="C27" s="60">
        <v>838723.3867811875</v>
      </c>
      <c r="D27" s="60">
        <v>1261503.5232188124</v>
      </c>
      <c r="E27" s="60">
        <v>0</v>
      </c>
      <c r="F27" s="60"/>
      <c r="G27" s="60">
        <v>1573699.4456328191</v>
      </c>
      <c r="H27" s="60">
        <v>2366963.2043671813</v>
      </c>
      <c r="I27" s="60">
        <v>0</v>
      </c>
      <c r="J27" s="60"/>
      <c r="K27" s="60">
        <v>6094921.0231566578</v>
      </c>
      <c r="L27" s="60">
        <v>9167223.0268433411</v>
      </c>
      <c r="M27" s="60">
        <v>0</v>
      </c>
      <c r="N27" s="60"/>
      <c r="O27" s="60">
        <v>0</v>
      </c>
      <c r="P27" s="60">
        <v>0</v>
      </c>
      <c r="Q27" s="60">
        <v>0</v>
      </c>
      <c r="R27" s="60"/>
      <c r="S27" s="60">
        <v>0</v>
      </c>
      <c r="T27" s="60">
        <v>0</v>
      </c>
      <c r="U27" s="60">
        <v>0</v>
      </c>
      <c r="V27" s="60"/>
      <c r="W27" s="60">
        <v>0</v>
      </c>
      <c r="X27" s="60">
        <v>0</v>
      </c>
      <c r="Y27" s="60">
        <v>0</v>
      </c>
      <c r="Z27" s="461"/>
      <c r="AA27" s="461"/>
      <c r="AB27" s="461"/>
    </row>
    <row r="28" spans="1:28" collapsed="1" x14ac:dyDescent="0.25">
      <c r="A28" s="57" t="s">
        <v>1358</v>
      </c>
      <c r="B28" s="117">
        <v>5021</v>
      </c>
      <c r="C28" s="60">
        <v>30366.889969275468</v>
      </c>
      <c r="D28" s="60">
        <v>71003.110030724521</v>
      </c>
      <c r="E28" s="60">
        <v>0</v>
      </c>
      <c r="F28" s="60"/>
      <c r="G28" s="60">
        <v>1379589.3358292256</v>
      </c>
      <c r="H28" s="60">
        <v>3223614.7541707745</v>
      </c>
      <c r="I28" s="60">
        <v>0</v>
      </c>
      <c r="J28" s="60"/>
      <c r="K28" s="60">
        <v>10413664.419692224</v>
      </c>
      <c r="L28" s="60">
        <v>24379629.850307778</v>
      </c>
      <c r="M28" s="60">
        <v>0</v>
      </c>
      <c r="N28" s="60"/>
      <c r="O28" s="60">
        <v>0</v>
      </c>
      <c r="P28" s="60">
        <v>0</v>
      </c>
      <c r="Q28" s="60">
        <v>0</v>
      </c>
      <c r="R28" s="60"/>
      <c r="S28" s="60">
        <v>0</v>
      </c>
      <c r="T28" s="60">
        <v>0</v>
      </c>
      <c r="U28" s="60">
        <v>0</v>
      </c>
      <c r="V28" s="60"/>
      <c r="W28" s="60">
        <v>12210.7</v>
      </c>
      <c r="X28" s="60">
        <v>0</v>
      </c>
      <c r="Y28" s="60">
        <v>0</v>
      </c>
      <c r="Z28" s="461"/>
      <c r="AA28" s="461"/>
      <c r="AB28" s="461"/>
    </row>
    <row r="29" spans="1:28" collapsed="1" x14ac:dyDescent="0.25">
      <c r="A29" s="57" t="s">
        <v>1359</v>
      </c>
      <c r="B29" s="117">
        <v>5028</v>
      </c>
      <c r="C29" s="60">
        <v>8944.102999765686</v>
      </c>
      <c r="D29" s="60">
        <v>4074.1970002343137</v>
      </c>
      <c r="E29" s="60">
        <v>0</v>
      </c>
      <c r="F29" s="60"/>
      <c r="G29" s="60">
        <v>17630.613799497409</v>
      </c>
      <c r="H29" s="60">
        <v>8031.0562005025913</v>
      </c>
      <c r="I29" s="60">
        <v>0</v>
      </c>
      <c r="J29" s="60"/>
      <c r="K29" s="60">
        <v>3833295.1960632643</v>
      </c>
      <c r="L29" s="60">
        <v>1746133.7139367359</v>
      </c>
      <c r="M29" s="60">
        <v>0</v>
      </c>
      <c r="N29" s="60"/>
      <c r="O29" s="60">
        <v>0</v>
      </c>
      <c r="P29" s="60">
        <v>0</v>
      </c>
      <c r="Q29" s="60">
        <v>0</v>
      </c>
      <c r="R29" s="60"/>
      <c r="S29" s="60">
        <v>0</v>
      </c>
      <c r="T29" s="60">
        <v>0</v>
      </c>
      <c r="U29" s="60">
        <v>0</v>
      </c>
      <c r="V29" s="60"/>
      <c r="W29" s="60">
        <v>0</v>
      </c>
      <c r="X29" s="60">
        <v>0</v>
      </c>
      <c r="Y29" s="60">
        <v>0</v>
      </c>
      <c r="Z29" s="461"/>
      <c r="AA29" s="461"/>
      <c r="AB29" s="461"/>
    </row>
    <row r="30" spans="1:28" collapsed="1" x14ac:dyDescent="0.25">
      <c r="A30" s="57" t="s">
        <v>1360</v>
      </c>
      <c r="B30" s="117">
        <v>5074</v>
      </c>
      <c r="C30" s="60">
        <v>36482.490789094161</v>
      </c>
      <c r="D30" s="60">
        <v>94780.009210905861</v>
      </c>
      <c r="E30" s="60">
        <v>0</v>
      </c>
      <c r="F30" s="60"/>
      <c r="G30" s="60">
        <v>404087.37805177603</v>
      </c>
      <c r="H30" s="60">
        <v>1061338.0519482242</v>
      </c>
      <c r="I30" s="60">
        <v>0</v>
      </c>
      <c r="J30" s="60"/>
      <c r="K30" s="60">
        <v>11041410.057167346</v>
      </c>
      <c r="L30" s="60">
        <v>28673593.112832662</v>
      </c>
      <c r="M30" s="60">
        <v>0</v>
      </c>
      <c r="N30" s="60"/>
      <c r="O30" s="60">
        <v>0</v>
      </c>
      <c r="P30" s="60">
        <v>0</v>
      </c>
      <c r="Q30" s="60">
        <v>0</v>
      </c>
      <c r="R30" s="60"/>
      <c r="S30" s="60">
        <v>0</v>
      </c>
      <c r="T30" s="60">
        <v>0</v>
      </c>
      <c r="U30" s="60">
        <v>0</v>
      </c>
      <c r="V30" s="60"/>
      <c r="W30" s="60">
        <v>0</v>
      </c>
      <c r="X30" s="60">
        <v>0</v>
      </c>
      <c r="Y30" s="60">
        <v>0</v>
      </c>
      <c r="Z30" s="461"/>
      <c r="AA30" s="461"/>
      <c r="AB30" s="461"/>
    </row>
    <row r="31" spans="1:28" collapsed="1" x14ac:dyDescent="0.25">
      <c r="A31" s="57" t="s">
        <v>1361</v>
      </c>
      <c r="B31" s="117">
        <v>5073</v>
      </c>
      <c r="C31" s="60">
        <v>58035.187583429935</v>
      </c>
      <c r="D31" s="60">
        <v>106644.43241657005</v>
      </c>
      <c r="E31" s="60">
        <v>0</v>
      </c>
      <c r="F31" s="60"/>
      <c r="G31" s="60">
        <v>3021510.8141150144</v>
      </c>
      <c r="H31" s="60">
        <v>5552274.7358849868</v>
      </c>
      <c r="I31" s="60">
        <v>0</v>
      </c>
      <c r="J31" s="60"/>
      <c r="K31" s="60">
        <v>11702759.392930711</v>
      </c>
      <c r="L31" s="60">
        <v>21504783.30706929</v>
      </c>
      <c r="M31" s="60">
        <v>0</v>
      </c>
      <c r="N31" s="60"/>
      <c r="O31" s="60">
        <v>0</v>
      </c>
      <c r="P31" s="60">
        <v>0</v>
      </c>
      <c r="Q31" s="60">
        <v>0</v>
      </c>
      <c r="R31" s="60"/>
      <c r="S31" s="60">
        <v>2667.7570017638677</v>
      </c>
      <c r="T31" s="60">
        <v>4902.2229982361332</v>
      </c>
      <c r="U31" s="60">
        <v>0</v>
      </c>
      <c r="V31" s="60"/>
      <c r="W31" s="60">
        <v>0</v>
      </c>
      <c r="X31" s="60">
        <v>0</v>
      </c>
      <c r="Y31" s="60">
        <v>0</v>
      </c>
      <c r="Z31" s="461"/>
      <c r="AA31" s="461"/>
      <c r="AB31" s="461"/>
    </row>
    <row r="32" spans="1:28" collapsed="1" x14ac:dyDescent="0.25">
      <c r="A32" s="57" t="s">
        <v>1362</v>
      </c>
      <c r="B32" s="117">
        <v>5012</v>
      </c>
      <c r="C32" s="60">
        <v>47666.78608968843</v>
      </c>
      <c r="D32" s="60">
        <v>121581.86391031156</v>
      </c>
      <c r="E32" s="60">
        <v>0</v>
      </c>
      <c r="F32" s="60"/>
      <c r="G32" s="60">
        <v>1696134.1543528668</v>
      </c>
      <c r="H32" s="60">
        <v>4382132.6256471341</v>
      </c>
      <c r="I32" s="60">
        <v>0</v>
      </c>
      <c r="J32" s="60"/>
      <c r="K32" s="60">
        <v>11014878.68819694</v>
      </c>
      <c r="L32" s="60">
        <v>28039365.87180306</v>
      </c>
      <c r="M32" s="60">
        <v>0</v>
      </c>
      <c r="N32" s="60"/>
      <c r="O32" s="60">
        <v>0</v>
      </c>
      <c r="P32" s="60">
        <v>0</v>
      </c>
      <c r="Q32" s="60">
        <v>0</v>
      </c>
      <c r="R32" s="60"/>
      <c r="S32" s="60">
        <v>0</v>
      </c>
      <c r="T32" s="60">
        <v>0</v>
      </c>
      <c r="U32" s="60">
        <v>0</v>
      </c>
      <c r="V32" s="60"/>
      <c r="W32" s="60">
        <v>0</v>
      </c>
      <c r="X32" s="60">
        <v>0</v>
      </c>
      <c r="Y32" s="60">
        <v>0</v>
      </c>
      <c r="Z32" s="461"/>
      <c r="AA32" s="461"/>
      <c r="AB32" s="461"/>
    </row>
    <row r="33" spans="1:28" collapsed="1" x14ac:dyDescent="0.25">
      <c r="A33" s="57" t="s">
        <v>1363</v>
      </c>
      <c r="B33" s="117">
        <v>5056</v>
      </c>
      <c r="C33" s="60">
        <v>19239.874250503792</v>
      </c>
      <c r="D33" s="60">
        <v>162922.42208645173</v>
      </c>
      <c r="E33" s="60">
        <v>1928.6936630444707</v>
      </c>
      <c r="F33" s="60"/>
      <c r="G33" s="60">
        <v>365328.63877945655</v>
      </c>
      <c r="H33" s="60">
        <v>3093587.0948292166</v>
      </c>
      <c r="I33" s="60">
        <v>36622.226391326367</v>
      </c>
      <c r="J33" s="60"/>
      <c r="K33" s="60">
        <v>5531734.8754938561</v>
      </c>
      <c r="L33" s="60">
        <v>46842491.407237574</v>
      </c>
      <c r="M33" s="60">
        <v>554526.59726857243</v>
      </c>
      <c r="N33" s="60"/>
      <c r="O33" s="60">
        <v>0</v>
      </c>
      <c r="P33" s="60">
        <v>0</v>
      </c>
      <c r="Q33" s="60">
        <v>0</v>
      </c>
      <c r="R33" s="60"/>
      <c r="S33" s="60">
        <v>0</v>
      </c>
      <c r="T33" s="60">
        <v>0</v>
      </c>
      <c r="U33" s="60">
        <v>0</v>
      </c>
      <c r="V33" s="60"/>
      <c r="W33" s="60">
        <v>0</v>
      </c>
      <c r="X33" s="60">
        <v>0</v>
      </c>
      <c r="Y33" s="60">
        <v>0</v>
      </c>
      <c r="Z33" s="461"/>
      <c r="AA33" s="461"/>
      <c r="AB33" s="461"/>
    </row>
    <row r="34" spans="1:28" x14ac:dyDescent="0.25">
      <c r="A34" s="57" t="s">
        <v>1364</v>
      </c>
      <c r="B34" s="117">
        <v>5087</v>
      </c>
      <c r="C34" s="60">
        <v>61536.324687848413</v>
      </c>
      <c r="D34" s="60">
        <v>329001.68531215162</v>
      </c>
      <c r="E34" s="60">
        <v>0</v>
      </c>
      <c r="F34" s="60"/>
      <c r="G34" s="60">
        <v>238866.84514057165</v>
      </c>
      <c r="H34" s="60">
        <v>1337065.4448594288</v>
      </c>
      <c r="I34" s="60">
        <v>0</v>
      </c>
      <c r="J34" s="60"/>
      <c r="K34" s="60">
        <v>3475720.6969973538</v>
      </c>
      <c r="L34" s="60">
        <v>18522839.54300265</v>
      </c>
      <c r="M34" s="60">
        <v>0</v>
      </c>
      <c r="N34" s="60"/>
      <c r="O34" s="60">
        <v>0</v>
      </c>
      <c r="P34" s="60">
        <v>0</v>
      </c>
      <c r="Q34" s="60">
        <v>0</v>
      </c>
      <c r="R34" s="60"/>
      <c r="S34" s="60">
        <v>0</v>
      </c>
      <c r="T34" s="60">
        <v>0</v>
      </c>
      <c r="U34" s="60">
        <v>0</v>
      </c>
      <c r="V34" s="60"/>
      <c r="W34" s="60">
        <v>0</v>
      </c>
      <c r="X34" s="60">
        <v>0</v>
      </c>
      <c r="Y34" s="60">
        <v>0</v>
      </c>
      <c r="Z34" s="461"/>
      <c r="AA34" s="461"/>
      <c r="AB34" s="461"/>
    </row>
    <row r="35" spans="1:28" collapsed="1" x14ac:dyDescent="0.25">
      <c r="A35" s="57" t="s">
        <v>1365</v>
      </c>
      <c r="B35" s="117">
        <v>5060</v>
      </c>
      <c r="C35" s="60">
        <v>33768.503191623888</v>
      </c>
      <c r="D35" s="60">
        <v>115778.53680837611</v>
      </c>
      <c r="E35" s="60">
        <v>0</v>
      </c>
      <c r="F35" s="60"/>
      <c r="G35" s="60">
        <v>480967.94303667673</v>
      </c>
      <c r="H35" s="60">
        <v>1649044.5169633226</v>
      </c>
      <c r="I35" s="60">
        <v>0</v>
      </c>
      <c r="J35" s="60"/>
      <c r="K35" s="60">
        <v>8458233.2704915218</v>
      </c>
      <c r="L35" s="60">
        <v>28977609.249508481</v>
      </c>
      <c r="M35" s="60">
        <v>0</v>
      </c>
      <c r="N35" s="60"/>
      <c r="O35" s="60">
        <v>0</v>
      </c>
      <c r="P35" s="60">
        <v>0</v>
      </c>
      <c r="Q35" s="60">
        <v>0</v>
      </c>
      <c r="R35" s="60"/>
      <c r="S35" s="60">
        <v>0</v>
      </c>
      <c r="T35" s="60">
        <v>0</v>
      </c>
      <c r="U35" s="60">
        <v>0</v>
      </c>
      <c r="V35" s="60"/>
      <c r="W35" s="60">
        <v>0</v>
      </c>
      <c r="X35" s="60">
        <v>22250.95</v>
      </c>
      <c r="Y35" s="60">
        <v>0</v>
      </c>
      <c r="Z35" s="461"/>
      <c r="AA35" s="461"/>
      <c r="AB35" s="461"/>
    </row>
    <row r="36" spans="1:28" collapsed="1" x14ac:dyDescent="0.25">
      <c r="A36" s="57" t="s">
        <v>1366</v>
      </c>
      <c r="B36" s="117">
        <v>5013</v>
      </c>
      <c r="C36" s="60">
        <v>58555.716471006795</v>
      </c>
      <c r="D36" s="60">
        <v>398974.14352899313</v>
      </c>
      <c r="E36" s="60">
        <v>0</v>
      </c>
      <c r="F36" s="60"/>
      <c r="G36" s="60">
        <v>146507.69910683075</v>
      </c>
      <c r="H36" s="60">
        <v>998242.14089316921</v>
      </c>
      <c r="I36" s="60">
        <v>0</v>
      </c>
      <c r="J36" s="60"/>
      <c r="K36" s="60">
        <v>6048787.334387172</v>
      </c>
      <c r="L36" s="60">
        <v>41213905.175612822</v>
      </c>
      <c r="M36" s="60">
        <v>0</v>
      </c>
      <c r="N36" s="60"/>
      <c r="O36" s="60">
        <v>0</v>
      </c>
      <c r="P36" s="60">
        <v>0</v>
      </c>
      <c r="Q36" s="60">
        <v>0</v>
      </c>
      <c r="R36" s="60"/>
      <c r="S36" s="60">
        <v>0</v>
      </c>
      <c r="T36" s="60">
        <v>0</v>
      </c>
      <c r="U36" s="60">
        <v>0</v>
      </c>
      <c r="V36" s="60"/>
      <c r="W36" s="60">
        <v>0</v>
      </c>
      <c r="X36" s="60">
        <v>0</v>
      </c>
      <c r="Y36" s="60">
        <v>0</v>
      </c>
      <c r="Z36" s="461"/>
      <c r="AA36" s="461"/>
      <c r="AB36" s="461"/>
    </row>
    <row r="37" spans="1:28" collapsed="1" x14ac:dyDescent="0.25">
      <c r="A37" s="57" t="s">
        <v>1028</v>
      </c>
      <c r="B37" s="59" t="s">
        <v>1367</v>
      </c>
      <c r="C37" s="60">
        <v>56156.869904803141</v>
      </c>
      <c r="D37" s="60">
        <v>246235.6100951969</v>
      </c>
      <c r="E37" s="60">
        <v>0</v>
      </c>
      <c r="F37" s="60"/>
      <c r="G37" s="60">
        <v>445194.20687961578</v>
      </c>
      <c r="H37" s="60">
        <v>3405039.5431203847</v>
      </c>
      <c r="I37" s="60">
        <v>0</v>
      </c>
      <c r="J37" s="60"/>
      <c r="K37" s="60">
        <v>7035987.3716432899</v>
      </c>
      <c r="L37" s="60">
        <v>28761868.628356703</v>
      </c>
      <c r="M37" s="60">
        <v>0</v>
      </c>
      <c r="N37" s="60"/>
      <c r="O37" s="60">
        <v>0</v>
      </c>
      <c r="P37" s="60">
        <v>0</v>
      </c>
      <c r="Q37" s="60">
        <v>0</v>
      </c>
      <c r="R37" s="60"/>
      <c r="S37" s="60">
        <v>0</v>
      </c>
      <c r="T37" s="60">
        <v>0</v>
      </c>
      <c r="U37" s="60">
        <v>0</v>
      </c>
      <c r="V37" s="60"/>
      <c r="W37" s="60">
        <v>0</v>
      </c>
      <c r="X37" s="60">
        <v>636439.19000000006</v>
      </c>
      <c r="Y37" s="60">
        <v>0</v>
      </c>
      <c r="Z37" s="461"/>
      <c r="AA37" s="461"/>
      <c r="AB37" s="461"/>
    </row>
    <row r="38" spans="1:28" x14ac:dyDescent="0.25">
      <c r="A38" s="57" t="s">
        <v>1368</v>
      </c>
      <c r="B38" s="117">
        <v>5053</v>
      </c>
      <c r="C38" s="60">
        <v>44241.303270715944</v>
      </c>
      <c r="D38" s="60">
        <v>94386.146252444276</v>
      </c>
      <c r="E38" s="60">
        <v>2111.7504768397703</v>
      </c>
      <c r="F38" s="60"/>
      <c r="G38" s="60">
        <v>402115.4645041675</v>
      </c>
      <c r="H38" s="60">
        <v>900091.7666501113</v>
      </c>
      <c r="I38" s="60">
        <v>19193.998845721162</v>
      </c>
      <c r="J38" s="60"/>
      <c r="K38" s="60">
        <v>13545005.490232343</v>
      </c>
      <c r="L38" s="60">
        <v>28804454.608094178</v>
      </c>
      <c r="M38" s="60">
        <v>647153.41167348414</v>
      </c>
      <c r="N38" s="60"/>
      <c r="O38" s="60">
        <v>0</v>
      </c>
      <c r="P38" s="60">
        <v>0</v>
      </c>
      <c r="Q38" s="60">
        <v>0</v>
      </c>
      <c r="R38" s="60"/>
      <c r="S38" s="60">
        <v>10210.588397443737</v>
      </c>
      <c r="T38" s="60">
        <v>61991.841602556269</v>
      </c>
      <c r="U38" s="60">
        <v>0</v>
      </c>
      <c r="V38" s="60"/>
      <c r="W38" s="60">
        <v>2687.9742065998562</v>
      </c>
      <c r="X38" s="60">
        <v>16319.575793400143</v>
      </c>
      <c r="Y38" s="60">
        <v>0</v>
      </c>
      <c r="Z38" s="461"/>
      <c r="AA38" s="461"/>
      <c r="AB38" s="461"/>
    </row>
    <row r="39" spans="1:28" collapsed="1" x14ac:dyDescent="0.25">
      <c r="A39" s="57" t="s">
        <v>1369</v>
      </c>
      <c r="B39" s="117">
        <v>5088</v>
      </c>
      <c r="C39" s="60">
        <v>90405.509884145999</v>
      </c>
      <c r="D39" s="60">
        <v>467570.910115854</v>
      </c>
      <c r="E39" s="60">
        <v>0</v>
      </c>
      <c r="F39" s="60"/>
      <c r="G39" s="60">
        <v>317432.86062883667</v>
      </c>
      <c r="H39" s="60">
        <v>1305926.7493711633</v>
      </c>
      <c r="I39" s="60">
        <v>0</v>
      </c>
      <c r="J39" s="60"/>
      <c r="K39" s="60">
        <v>5340985.8493920164</v>
      </c>
      <c r="L39" s="60">
        <v>27942318.510607976</v>
      </c>
      <c r="M39" s="60">
        <v>0</v>
      </c>
      <c r="N39" s="60"/>
      <c r="O39" s="60">
        <v>0</v>
      </c>
      <c r="P39" s="60">
        <v>0</v>
      </c>
      <c r="Q39" s="60">
        <v>0</v>
      </c>
      <c r="R39" s="60"/>
      <c r="S39" s="60">
        <v>0</v>
      </c>
      <c r="T39" s="60">
        <v>0</v>
      </c>
      <c r="U39" s="60">
        <v>0</v>
      </c>
      <c r="V39" s="60"/>
      <c r="W39" s="60">
        <v>0</v>
      </c>
      <c r="X39" s="60">
        <v>16696.55</v>
      </c>
      <c r="Y39" s="60">
        <v>0</v>
      </c>
      <c r="Z39" s="461"/>
      <c r="AA39" s="461"/>
      <c r="AB39" s="461"/>
    </row>
    <row r="40" spans="1:28" collapsed="1" x14ac:dyDescent="0.25">
      <c r="A40" s="57" t="s">
        <v>1370</v>
      </c>
      <c r="B40" s="117">
        <v>5050</v>
      </c>
      <c r="C40" s="60">
        <v>806034.6565873113</v>
      </c>
      <c r="D40" s="60">
        <v>164228.7134126887</v>
      </c>
      <c r="E40" s="60">
        <v>0</v>
      </c>
      <c r="F40" s="60"/>
      <c r="G40" s="60">
        <v>2475504.5017491048</v>
      </c>
      <c r="H40" s="60">
        <v>504381.43825089512</v>
      </c>
      <c r="I40" s="60">
        <v>0</v>
      </c>
      <c r="J40" s="60"/>
      <c r="K40" s="60">
        <v>17862428.560306642</v>
      </c>
      <c r="L40" s="60">
        <v>3639451.0296933595</v>
      </c>
      <c r="M40" s="60">
        <v>0</v>
      </c>
      <c r="N40" s="60"/>
      <c r="O40" s="60">
        <v>0</v>
      </c>
      <c r="P40" s="60">
        <v>0</v>
      </c>
      <c r="Q40" s="60">
        <v>0</v>
      </c>
      <c r="R40" s="60"/>
      <c r="S40" s="60">
        <v>0</v>
      </c>
      <c r="T40" s="60">
        <v>0</v>
      </c>
      <c r="U40" s="60">
        <v>0</v>
      </c>
      <c r="V40" s="60"/>
      <c r="W40" s="60">
        <v>0</v>
      </c>
      <c r="X40" s="60">
        <v>0</v>
      </c>
      <c r="Y40" s="60">
        <v>0</v>
      </c>
      <c r="Z40" s="461"/>
      <c r="AA40" s="461"/>
      <c r="AB40" s="461"/>
    </row>
    <row r="41" spans="1:28" collapsed="1" x14ac:dyDescent="0.25">
      <c r="A41" s="57" t="s">
        <v>1371</v>
      </c>
      <c r="B41" s="117">
        <v>5083</v>
      </c>
      <c r="C41" s="60">
        <v>1887095.1421269081</v>
      </c>
      <c r="D41" s="60">
        <v>11398878.667873092</v>
      </c>
      <c r="E41" s="60">
        <v>0</v>
      </c>
      <c r="F41" s="60"/>
      <c r="G41" s="60">
        <v>1169101.5107728194</v>
      </c>
      <c r="H41" s="60">
        <v>7260129.4792271815</v>
      </c>
      <c r="I41" s="60">
        <v>0</v>
      </c>
      <c r="J41" s="60"/>
      <c r="K41" s="60">
        <v>4156403.3545628078</v>
      </c>
      <c r="L41" s="60">
        <v>24258271.455437101</v>
      </c>
      <c r="M41" s="60">
        <v>0</v>
      </c>
      <c r="N41" s="60"/>
      <c r="O41" s="60">
        <v>0</v>
      </c>
      <c r="P41" s="60">
        <v>0</v>
      </c>
      <c r="Q41" s="60">
        <v>0</v>
      </c>
      <c r="R41" s="60"/>
      <c r="S41" s="60">
        <v>0</v>
      </c>
      <c r="T41" s="60">
        <v>0</v>
      </c>
      <c r="U41" s="60">
        <v>0</v>
      </c>
      <c r="V41" s="60"/>
      <c r="W41" s="60">
        <v>0</v>
      </c>
      <c r="X41" s="60">
        <v>649973.86</v>
      </c>
      <c r="Y41" s="60">
        <v>0</v>
      </c>
      <c r="Z41" s="461"/>
      <c r="AA41" s="461"/>
      <c r="AB41" s="461"/>
    </row>
    <row r="42" spans="1:28" collapsed="1" x14ac:dyDescent="0.25">
      <c r="A42" s="57" t="s">
        <v>1372</v>
      </c>
      <c r="B42" s="117">
        <v>5082</v>
      </c>
      <c r="C42" s="60">
        <v>62509.740237281811</v>
      </c>
      <c r="D42" s="60">
        <v>208060.2897627182</v>
      </c>
      <c r="E42" s="60">
        <v>0</v>
      </c>
      <c r="F42" s="60"/>
      <c r="G42" s="60">
        <v>690487.1462498731</v>
      </c>
      <c r="H42" s="60">
        <v>2299949.1237501269</v>
      </c>
      <c r="I42" s="60">
        <v>0</v>
      </c>
      <c r="J42" s="60"/>
      <c r="K42" s="60">
        <v>7012796.8555231206</v>
      </c>
      <c r="L42" s="60">
        <v>23295442.094476897</v>
      </c>
      <c r="M42" s="60">
        <v>0</v>
      </c>
      <c r="N42" s="60"/>
      <c r="O42" s="60">
        <v>0</v>
      </c>
      <c r="P42" s="60">
        <v>0</v>
      </c>
      <c r="Q42" s="60">
        <v>0</v>
      </c>
      <c r="R42" s="60"/>
      <c r="S42" s="60">
        <v>3863.0453908326931</v>
      </c>
      <c r="T42" s="60">
        <v>57430.914609167303</v>
      </c>
      <c r="U42" s="60">
        <v>0</v>
      </c>
      <c r="V42" s="60"/>
      <c r="W42" s="60">
        <v>0</v>
      </c>
      <c r="X42" s="60">
        <v>0</v>
      </c>
      <c r="Y42" s="60">
        <v>0</v>
      </c>
      <c r="Z42" s="461"/>
      <c r="AA42" s="461"/>
      <c r="AB42" s="461"/>
    </row>
    <row r="43" spans="1:28" collapsed="1" x14ac:dyDescent="0.25">
      <c r="A43" s="57" t="s">
        <v>1373</v>
      </c>
      <c r="B43" s="117">
        <v>5014</v>
      </c>
      <c r="C43" s="60">
        <v>9780.3842604627225</v>
      </c>
      <c r="D43" s="60">
        <v>88174.575739537293</v>
      </c>
      <c r="E43" s="60">
        <v>0</v>
      </c>
      <c r="F43" s="60"/>
      <c r="G43" s="60">
        <v>220504.2683260497</v>
      </c>
      <c r="H43" s="60">
        <v>1987945.4416739503</v>
      </c>
      <c r="I43" s="60">
        <v>0</v>
      </c>
      <c r="J43" s="60"/>
      <c r="K43" s="60">
        <v>2347571.0526886126</v>
      </c>
      <c r="L43" s="60">
        <v>21085689.817311388</v>
      </c>
      <c r="M43" s="60">
        <v>0</v>
      </c>
      <c r="N43" s="60"/>
      <c r="O43" s="60">
        <v>0</v>
      </c>
      <c r="P43" s="60">
        <v>0</v>
      </c>
      <c r="Q43" s="60">
        <v>0</v>
      </c>
      <c r="R43" s="60"/>
      <c r="S43" s="60">
        <v>0</v>
      </c>
      <c r="T43" s="60">
        <v>0</v>
      </c>
      <c r="U43" s="60">
        <v>0</v>
      </c>
      <c r="V43" s="60"/>
      <c r="W43" s="60">
        <v>0</v>
      </c>
      <c r="X43" s="60">
        <v>78722.14</v>
      </c>
      <c r="Y43" s="60">
        <v>0</v>
      </c>
      <c r="Z43" s="461"/>
      <c r="AA43" s="461"/>
      <c r="AB43" s="461"/>
    </row>
    <row r="44" spans="1:28" collapsed="1" x14ac:dyDescent="0.25">
      <c r="A44" s="57" t="s">
        <v>1374</v>
      </c>
      <c r="B44" s="117">
        <v>2211</v>
      </c>
      <c r="C44" s="60">
        <v>0</v>
      </c>
      <c r="D44" s="60">
        <v>0</v>
      </c>
      <c r="E44" s="60">
        <v>0</v>
      </c>
      <c r="F44" s="60"/>
      <c r="G44" s="60">
        <v>36940.325605496066</v>
      </c>
      <c r="H44" s="60">
        <v>40373.914394503925</v>
      </c>
      <c r="I44" s="60">
        <v>0</v>
      </c>
      <c r="J44" s="60"/>
      <c r="K44" s="60">
        <v>3849583.5535414973</v>
      </c>
      <c r="L44" s="60">
        <v>4224457.6264585024</v>
      </c>
      <c r="M44" s="60">
        <v>0</v>
      </c>
      <c r="N44" s="60"/>
      <c r="O44" s="60">
        <v>0</v>
      </c>
      <c r="P44" s="60">
        <v>0</v>
      </c>
      <c r="Q44" s="60">
        <v>0</v>
      </c>
      <c r="R44" s="60"/>
      <c r="S44" s="60">
        <v>104320.81553826538</v>
      </c>
      <c r="T44" s="60">
        <v>114017.39446173464</v>
      </c>
      <c r="U44" s="60">
        <v>0</v>
      </c>
      <c r="V44" s="60"/>
      <c r="W44" s="60">
        <v>22584.619329020898</v>
      </c>
      <c r="X44" s="60">
        <v>7627.0606709791</v>
      </c>
      <c r="Y44" s="60">
        <v>0</v>
      </c>
      <c r="Z44" s="461"/>
      <c r="AA44" s="461"/>
      <c r="AB44" s="461"/>
    </row>
    <row r="45" spans="1:28" collapsed="1" x14ac:dyDescent="0.25">
      <c r="A45" s="57" t="s">
        <v>1375</v>
      </c>
      <c r="B45" s="117">
        <v>2212</v>
      </c>
      <c r="C45" s="60">
        <v>0</v>
      </c>
      <c r="D45" s="60">
        <v>0</v>
      </c>
      <c r="E45" s="60">
        <v>0</v>
      </c>
      <c r="F45" s="60"/>
      <c r="G45" s="60">
        <v>0</v>
      </c>
      <c r="H45" s="60">
        <v>0</v>
      </c>
      <c r="I45" s="60">
        <v>0</v>
      </c>
      <c r="J45" s="60"/>
      <c r="K45" s="60">
        <v>1516245.82</v>
      </c>
      <c r="L45" s="60">
        <v>0</v>
      </c>
      <c r="M45" s="60">
        <v>0</v>
      </c>
      <c r="N45" s="60"/>
      <c r="O45" s="60">
        <v>0</v>
      </c>
      <c r="P45" s="60">
        <v>0</v>
      </c>
      <c r="Q45" s="60">
        <v>0</v>
      </c>
      <c r="R45" s="60"/>
      <c r="S45" s="60">
        <v>0</v>
      </c>
      <c r="T45" s="60">
        <v>0</v>
      </c>
      <c r="U45" s="60">
        <v>0</v>
      </c>
      <c r="V45" s="60"/>
      <c r="W45" s="60">
        <v>0</v>
      </c>
      <c r="X45" s="60">
        <v>0</v>
      </c>
      <c r="Y45" s="60">
        <v>0</v>
      </c>
      <c r="Z45" s="461"/>
      <c r="AA45" s="461"/>
      <c r="AB45" s="461"/>
    </row>
    <row r="46" spans="1:28" collapsed="1" x14ac:dyDescent="0.25">
      <c r="A46" s="57" t="s">
        <v>1376</v>
      </c>
      <c r="B46" s="117">
        <v>2230</v>
      </c>
      <c r="C46" s="60">
        <v>0</v>
      </c>
      <c r="D46" s="60">
        <v>0</v>
      </c>
      <c r="E46" s="60">
        <v>0</v>
      </c>
      <c r="F46" s="60"/>
      <c r="G46" s="60">
        <v>578154.11693012703</v>
      </c>
      <c r="H46" s="60">
        <v>6080.9130698729732</v>
      </c>
      <c r="I46" s="60">
        <v>0</v>
      </c>
      <c r="J46" s="60"/>
      <c r="K46" s="60">
        <v>10298078.488259617</v>
      </c>
      <c r="L46" s="60">
        <v>1443456.7017403843</v>
      </c>
      <c r="M46" s="60">
        <v>0</v>
      </c>
      <c r="N46" s="60"/>
      <c r="O46" s="60">
        <v>0</v>
      </c>
      <c r="P46" s="60">
        <v>0</v>
      </c>
      <c r="Q46" s="60">
        <v>0</v>
      </c>
      <c r="R46" s="60"/>
      <c r="S46" s="60">
        <v>0</v>
      </c>
      <c r="T46" s="60">
        <v>0</v>
      </c>
      <c r="U46" s="60">
        <v>0</v>
      </c>
      <c r="V46" s="60"/>
      <c r="W46" s="60">
        <v>239393.7395614502</v>
      </c>
      <c r="X46" s="60">
        <v>31905.370438549813</v>
      </c>
      <c r="Y46" s="60">
        <v>0</v>
      </c>
      <c r="Z46" s="461"/>
      <c r="AA46" s="461"/>
      <c r="AB46" s="461"/>
    </row>
    <row r="47" spans="1:28" collapsed="1" x14ac:dyDescent="0.25">
      <c r="A47" s="57" t="s">
        <v>1377</v>
      </c>
      <c r="B47" s="117">
        <v>2236</v>
      </c>
      <c r="C47" s="60">
        <v>0</v>
      </c>
      <c r="D47" s="60">
        <v>0</v>
      </c>
      <c r="E47" s="60">
        <v>0</v>
      </c>
      <c r="F47" s="60"/>
      <c r="G47" s="60">
        <v>0</v>
      </c>
      <c r="H47" s="60">
        <v>0</v>
      </c>
      <c r="I47" s="60">
        <v>0</v>
      </c>
      <c r="J47" s="60"/>
      <c r="K47" s="60">
        <v>2262431.5</v>
      </c>
      <c r="L47" s="60">
        <v>0</v>
      </c>
      <c r="M47" s="60">
        <v>0</v>
      </c>
      <c r="N47" s="60"/>
      <c r="O47" s="60">
        <v>0</v>
      </c>
      <c r="P47" s="60">
        <v>0</v>
      </c>
      <c r="Q47" s="60">
        <v>0</v>
      </c>
      <c r="R47" s="60"/>
      <c r="S47" s="60">
        <v>0</v>
      </c>
      <c r="T47" s="60">
        <v>0</v>
      </c>
      <c r="U47" s="60">
        <v>0</v>
      </c>
      <c r="V47" s="60"/>
      <c r="W47" s="60">
        <v>0</v>
      </c>
      <c r="X47" s="60">
        <v>0</v>
      </c>
      <c r="Y47" s="60">
        <v>0</v>
      </c>
      <c r="Z47" s="461"/>
      <c r="AA47" s="461"/>
      <c r="AB47" s="461"/>
    </row>
    <row r="48" spans="1:28" collapsed="1" x14ac:dyDescent="0.25">
      <c r="A48" s="57" t="s">
        <v>1378</v>
      </c>
      <c r="B48" s="117">
        <v>2229</v>
      </c>
      <c r="C48" s="60">
        <v>0</v>
      </c>
      <c r="D48" s="60">
        <v>0</v>
      </c>
      <c r="E48" s="60">
        <v>0</v>
      </c>
      <c r="F48" s="60"/>
      <c r="G48" s="60">
        <v>228150.8818188523</v>
      </c>
      <c r="H48" s="60">
        <v>54498.128181147746</v>
      </c>
      <c r="I48" s="60">
        <v>0</v>
      </c>
      <c r="J48" s="60"/>
      <c r="K48" s="60">
        <v>1885178.8101346751</v>
      </c>
      <c r="L48" s="60">
        <v>452993.94986532495</v>
      </c>
      <c r="M48" s="60">
        <v>0</v>
      </c>
      <c r="N48" s="60"/>
      <c r="O48" s="60">
        <v>0</v>
      </c>
      <c r="P48" s="60">
        <v>0</v>
      </c>
      <c r="Q48" s="60">
        <v>0</v>
      </c>
      <c r="R48" s="60"/>
      <c r="S48" s="60">
        <v>0</v>
      </c>
      <c r="T48" s="60">
        <v>0</v>
      </c>
      <c r="U48" s="60">
        <v>0</v>
      </c>
      <c r="V48" s="60"/>
      <c r="W48" s="60">
        <v>82768.290404579675</v>
      </c>
      <c r="X48" s="60">
        <v>17087.219595420331</v>
      </c>
      <c r="Y48" s="60">
        <v>0</v>
      </c>
      <c r="Z48" s="461"/>
      <c r="AA48" s="461"/>
      <c r="AB48" s="461"/>
    </row>
    <row r="49" spans="1:28" collapsed="1" x14ac:dyDescent="0.25">
      <c r="A49" s="676" t="s">
        <v>1379</v>
      </c>
      <c r="B49" s="677">
        <v>5036</v>
      </c>
      <c r="C49" s="455"/>
      <c r="D49" s="455"/>
      <c r="E49" s="455"/>
      <c r="F49" s="60"/>
      <c r="G49" s="455"/>
      <c r="H49" s="455"/>
      <c r="I49" s="455"/>
      <c r="J49" s="455"/>
      <c r="K49" s="455"/>
      <c r="L49" s="455"/>
      <c r="M49" s="455"/>
      <c r="N49" s="455"/>
      <c r="O49" s="455"/>
      <c r="P49" s="455"/>
      <c r="Q49" s="455"/>
      <c r="R49" s="455"/>
      <c r="S49" s="455"/>
      <c r="T49" s="455"/>
      <c r="U49" s="455"/>
      <c r="V49" s="455"/>
      <c r="W49" s="455"/>
      <c r="X49" s="455"/>
      <c r="Y49" s="455"/>
      <c r="Z49" s="461"/>
      <c r="AA49" s="461"/>
      <c r="AB49" s="461"/>
    </row>
    <row r="50" spans="1:28" collapsed="1" x14ac:dyDescent="0.25">
      <c r="A50" s="662" t="s">
        <v>1380</v>
      </c>
      <c r="B50" s="664">
        <v>5031</v>
      </c>
      <c r="C50" s="60">
        <v>7946.6323167136188</v>
      </c>
      <c r="D50" s="60">
        <v>416.36768328638072</v>
      </c>
      <c r="E50" s="60">
        <v>0</v>
      </c>
      <c r="F50" s="60"/>
      <c r="G50" s="60">
        <v>1029213.5247126948</v>
      </c>
      <c r="H50" s="60">
        <v>53757.495287305122</v>
      </c>
      <c r="I50" s="60">
        <v>0</v>
      </c>
      <c r="J50" s="60"/>
      <c r="K50" s="60">
        <v>13618897.642984774</v>
      </c>
      <c r="L50" s="60">
        <v>713737.44701522694</v>
      </c>
      <c r="M50" s="60">
        <v>0</v>
      </c>
      <c r="N50" s="60"/>
      <c r="O50" s="60">
        <v>0</v>
      </c>
      <c r="P50" s="60">
        <v>0</v>
      </c>
      <c r="Q50" s="60">
        <v>0</v>
      </c>
      <c r="R50" s="60"/>
      <c r="S50" s="60">
        <v>0</v>
      </c>
      <c r="T50" s="60">
        <v>0</v>
      </c>
      <c r="U50" s="60">
        <v>0</v>
      </c>
      <c r="V50" s="60"/>
      <c r="W50" s="60">
        <v>0</v>
      </c>
      <c r="X50" s="60">
        <v>0</v>
      </c>
      <c r="Y50" s="60">
        <v>0</v>
      </c>
      <c r="Z50" s="461"/>
      <c r="AA50" s="461"/>
      <c r="AB50" s="461"/>
    </row>
    <row r="51" spans="1:28" collapsed="1" x14ac:dyDescent="0.25">
      <c r="A51" s="662" t="s">
        <v>1381</v>
      </c>
      <c r="B51" s="664">
        <v>5034</v>
      </c>
      <c r="C51" s="60">
        <v>3567.8569472443664</v>
      </c>
      <c r="D51" s="60">
        <v>8629.8230527556352</v>
      </c>
      <c r="E51" s="60">
        <v>0</v>
      </c>
      <c r="F51" s="60"/>
      <c r="G51" s="60">
        <v>198089.57481482733</v>
      </c>
      <c r="H51" s="60">
        <v>647715.65518517292</v>
      </c>
      <c r="I51" s="60">
        <v>0</v>
      </c>
      <c r="J51" s="60"/>
      <c r="K51" s="60">
        <v>6797044.9094042284</v>
      </c>
      <c r="L51" s="60">
        <v>16271901.280595776</v>
      </c>
      <c r="M51" s="60">
        <v>0</v>
      </c>
      <c r="N51" s="60"/>
      <c r="O51" s="60">
        <v>0</v>
      </c>
      <c r="P51" s="60">
        <v>0</v>
      </c>
      <c r="Q51" s="60">
        <v>0</v>
      </c>
      <c r="R51" s="60"/>
      <c r="S51" s="60">
        <v>0</v>
      </c>
      <c r="T51" s="60">
        <v>0</v>
      </c>
      <c r="U51" s="60">
        <v>0</v>
      </c>
      <c r="V51" s="60"/>
      <c r="W51" s="60">
        <v>0</v>
      </c>
      <c r="X51" s="60">
        <v>0</v>
      </c>
      <c r="Y51" s="60">
        <v>0</v>
      </c>
      <c r="Z51" s="461"/>
      <c r="AA51" s="461"/>
      <c r="AB51" s="461"/>
    </row>
    <row r="52" spans="1:28" collapsed="1" x14ac:dyDescent="0.25">
      <c r="A52" s="662" t="s">
        <v>1382</v>
      </c>
      <c r="B52" s="664">
        <v>5033</v>
      </c>
      <c r="C52" s="60">
        <v>160489.91288454912</v>
      </c>
      <c r="D52" s="60">
        <v>232680.53711545083</v>
      </c>
      <c r="E52" s="60">
        <v>0</v>
      </c>
      <c r="F52" s="60"/>
      <c r="G52" s="60">
        <v>4821855.5014067097</v>
      </c>
      <c r="H52" s="60">
        <v>7413317.4685932891</v>
      </c>
      <c r="I52" s="60">
        <v>0</v>
      </c>
      <c r="J52" s="60"/>
      <c r="K52" s="60">
        <v>33876468.440041311</v>
      </c>
      <c r="L52" s="60">
        <v>48056676.009958684</v>
      </c>
      <c r="M52" s="60">
        <v>0</v>
      </c>
      <c r="N52" s="60"/>
      <c r="O52" s="60">
        <v>0</v>
      </c>
      <c r="P52" s="60">
        <v>0</v>
      </c>
      <c r="Q52" s="60">
        <v>0</v>
      </c>
      <c r="R52" s="60"/>
      <c r="S52" s="60">
        <v>25360.565210159868</v>
      </c>
      <c r="T52" s="60">
        <v>36768.104789840123</v>
      </c>
      <c r="U52" s="60">
        <v>0</v>
      </c>
      <c r="V52" s="60"/>
      <c r="W52" s="60">
        <v>38219.325323814395</v>
      </c>
      <c r="X52" s="60">
        <v>690792.77467618557</v>
      </c>
      <c r="Y52" s="60">
        <v>0</v>
      </c>
      <c r="Z52" s="461"/>
      <c r="AA52" s="461"/>
      <c r="AB52" s="461"/>
    </row>
    <row r="53" spans="1:28" collapsed="1" x14ac:dyDescent="0.25">
      <c r="A53" s="662" t="s">
        <v>1383</v>
      </c>
      <c r="B53" s="664">
        <v>5035</v>
      </c>
      <c r="C53" s="60">
        <v>2026.257989696604</v>
      </c>
      <c r="D53" s="60">
        <v>5216.6220103033957</v>
      </c>
      <c r="E53" s="60">
        <v>0</v>
      </c>
      <c r="F53" s="60"/>
      <c r="G53" s="60">
        <v>369875.33757074166</v>
      </c>
      <c r="H53" s="60">
        <v>948610.66242925846</v>
      </c>
      <c r="I53" s="60">
        <v>0</v>
      </c>
      <c r="J53" s="60"/>
      <c r="K53" s="60">
        <v>4740243.5863469038</v>
      </c>
      <c r="L53" s="60">
        <v>12207443.003653103</v>
      </c>
      <c r="M53" s="60">
        <v>0</v>
      </c>
      <c r="N53" s="60"/>
      <c r="O53" s="60">
        <v>0</v>
      </c>
      <c r="P53" s="60">
        <v>0</v>
      </c>
      <c r="Q53" s="60">
        <v>0</v>
      </c>
      <c r="R53" s="60"/>
      <c r="S53" s="60">
        <v>0</v>
      </c>
      <c r="T53" s="60">
        <v>0</v>
      </c>
      <c r="U53" s="60">
        <v>0</v>
      </c>
      <c r="V53" s="60"/>
      <c r="W53" s="60">
        <v>0</v>
      </c>
      <c r="X53" s="60">
        <v>0</v>
      </c>
      <c r="Y53" s="60">
        <v>0</v>
      </c>
      <c r="Z53" s="461"/>
      <c r="AA53" s="461"/>
      <c r="AB53" s="461"/>
    </row>
    <row r="54" spans="1:28" collapsed="1" x14ac:dyDescent="0.25">
      <c r="A54" s="662" t="s">
        <v>1029</v>
      </c>
      <c r="B54" s="663" t="s">
        <v>1384</v>
      </c>
      <c r="C54" s="60">
        <v>28584.969909692139</v>
      </c>
      <c r="D54" s="60">
        <v>19876.749662124505</v>
      </c>
      <c r="E54" s="60">
        <v>349.69042818335993</v>
      </c>
      <c r="F54" s="60"/>
      <c r="G54" s="60">
        <v>342806.61918786593</v>
      </c>
      <c r="H54" s="60">
        <v>283433.94366534328</v>
      </c>
      <c r="I54" s="60">
        <v>4192.7971467907355</v>
      </c>
      <c r="J54" s="60"/>
      <c r="K54" s="60">
        <v>15657528.111002665</v>
      </c>
      <c r="L54" s="60">
        <v>10837051.671723807</v>
      </c>
      <c r="M54" s="60">
        <v>191751.32727352571</v>
      </c>
      <c r="N54" s="60"/>
      <c r="O54" s="60">
        <v>0</v>
      </c>
      <c r="P54" s="60">
        <v>0</v>
      </c>
      <c r="Q54" s="60">
        <v>0</v>
      </c>
      <c r="R54" s="60"/>
      <c r="S54" s="60">
        <v>0</v>
      </c>
      <c r="T54" s="60">
        <v>0</v>
      </c>
      <c r="U54" s="60">
        <v>0</v>
      </c>
      <c r="V54" s="60"/>
      <c r="W54" s="60">
        <v>16852.041644152381</v>
      </c>
      <c r="X54" s="60">
        <v>17172.138355847619</v>
      </c>
      <c r="Y54" s="60">
        <v>0</v>
      </c>
      <c r="Z54" s="461"/>
      <c r="AA54" s="461"/>
      <c r="AB54" s="461"/>
    </row>
    <row r="55" spans="1:28" x14ac:dyDescent="0.25">
      <c r="A55" s="662" t="s">
        <v>1385</v>
      </c>
      <c r="B55" s="664">
        <v>5044</v>
      </c>
      <c r="C55" s="60"/>
      <c r="D55" s="60"/>
      <c r="E55" s="60"/>
      <c r="F55" s="60"/>
      <c r="G55" s="60"/>
      <c r="H55" s="60"/>
      <c r="I55" s="60"/>
      <c r="J55" s="60"/>
      <c r="K55" s="60"/>
      <c r="L55" s="60"/>
      <c r="M55" s="60"/>
      <c r="N55" s="60"/>
      <c r="O55" s="60"/>
      <c r="P55" s="60"/>
      <c r="Q55" s="60"/>
      <c r="R55" s="60"/>
      <c r="S55" s="60"/>
      <c r="T55" s="60"/>
      <c r="U55" s="60"/>
      <c r="V55" s="60"/>
      <c r="W55" s="60"/>
      <c r="X55" s="60"/>
      <c r="Y55" s="60"/>
      <c r="Z55" s="461"/>
      <c r="AA55" s="461"/>
      <c r="AB55" s="461"/>
    </row>
    <row r="56" spans="1:28" collapsed="1" x14ac:dyDescent="0.25">
      <c r="A56" s="662" t="s">
        <v>1386</v>
      </c>
      <c r="B56" s="664">
        <v>5063</v>
      </c>
      <c r="C56" s="60">
        <v>0</v>
      </c>
      <c r="D56" s="60">
        <v>0</v>
      </c>
      <c r="E56" s="60">
        <v>0</v>
      </c>
      <c r="F56" s="60"/>
      <c r="G56" s="60">
        <v>1545.9963632517868</v>
      </c>
      <c r="H56" s="60">
        <v>668.64363674821368</v>
      </c>
      <c r="I56" s="60">
        <v>0</v>
      </c>
      <c r="J56" s="60"/>
      <c r="K56" s="60">
        <v>561774.80196972121</v>
      </c>
      <c r="L56" s="60">
        <v>242967.67803027874</v>
      </c>
      <c r="M56" s="60">
        <v>0</v>
      </c>
      <c r="N56" s="60"/>
      <c r="O56" s="60">
        <v>0</v>
      </c>
      <c r="P56" s="60">
        <v>0</v>
      </c>
      <c r="Q56" s="60">
        <v>0</v>
      </c>
      <c r="R56" s="60"/>
      <c r="S56" s="60">
        <v>0</v>
      </c>
      <c r="T56" s="60">
        <v>0</v>
      </c>
      <c r="U56" s="60">
        <v>0</v>
      </c>
      <c r="V56" s="60"/>
      <c r="W56" s="60">
        <v>0</v>
      </c>
      <c r="X56" s="60">
        <v>0</v>
      </c>
      <c r="Y56" s="60">
        <v>0</v>
      </c>
      <c r="Z56" s="461"/>
      <c r="AA56" s="461"/>
      <c r="AB56" s="461"/>
    </row>
    <row r="57" spans="1:28" collapsed="1" x14ac:dyDescent="0.25">
      <c r="A57" s="662" t="s">
        <v>1387</v>
      </c>
      <c r="B57" s="664">
        <v>5040</v>
      </c>
      <c r="C57" s="60">
        <v>0</v>
      </c>
      <c r="D57" s="60">
        <v>0</v>
      </c>
      <c r="E57" s="60">
        <v>0</v>
      </c>
      <c r="F57" s="60"/>
      <c r="G57" s="60">
        <v>15337.031400230504</v>
      </c>
      <c r="H57" s="60">
        <v>227402.10859976948</v>
      </c>
      <c r="I57" s="60">
        <v>0</v>
      </c>
      <c r="J57" s="60"/>
      <c r="K57" s="60">
        <v>449423.03595998377</v>
      </c>
      <c r="L57" s="60">
        <v>6663593.7140400168</v>
      </c>
      <c r="M57" s="60">
        <v>0</v>
      </c>
      <c r="N57" s="60"/>
      <c r="O57" s="60">
        <v>0</v>
      </c>
      <c r="P57" s="60">
        <v>0</v>
      </c>
      <c r="Q57" s="60">
        <v>0</v>
      </c>
      <c r="R57" s="60"/>
      <c r="S57" s="60">
        <v>0</v>
      </c>
      <c r="T57" s="60">
        <v>0</v>
      </c>
      <c r="U57" s="60">
        <v>0</v>
      </c>
      <c r="V57" s="60"/>
      <c r="W57" s="60">
        <v>0</v>
      </c>
      <c r="X57" s="60">
        <v>0</v>
      </c>
      <c r="Y57" s="60">
        <v>0</v>
      </c>
      <c r="Z57" s="461"/>
      <c r="AA57" s="461"/>
      <c r="AB57" s="461"/>
    </row>
    <row r="58" spans="1:28" collapsed="1" x14ac:dyDescent="0.25">
      <c r="A58" s="662" t="s">
        <v>1388</v>
      </c>
      <c r="B58" s="664">
        <v>8048</v>
      </c>
      <c r="C58" s="60"/>
      <c r="D58" s="60"/>
      <c r="E58" s="60"/>
      <c r="F58" s="60"/>
      <c r="G58" s="60"/>
      <c r="H58" s="60"/>
      <c r="I58" s="60"/>
      <c r="J58" s="60"/>
      <c r="K58" s="60"/>
      <c r="L58" s="60"/>
      <c r="M58" s="60"/>
      <c r="N58" s="60"/>
      <c r="O58" s="60"/>
      <c r="P58" s="60"/>
      <c r="Q58" s="60"/>
      <c r="R58" s="60"/>
      <c r="S58" s="60"/>
      <c r="T58" s="60"/>
      <c r="U58" s="60"/>
      <c r="V58" s="60"/>
      <c r="W58" s="60"/>
      <c r="X58" s="60"/>
      <c r="Y58" s="60"/>
      <c r="Z58" s="461"/>
      <c r="AA58" s="461"/>
      <c r="AB58" s="461"/>
    </row>
    <row r="59" spans="1:28" collapsed="1" x14ac:dyDescent="0.25">
      <c r="A59" s="662" t="s">
        <v>1389</v>
      </c>
      <c r="B59" s="664">
        <v>2556</v>
      </c>
      <c r="C59" s="60">
        <v>0</v>
      </c>
      <c r="D59" s="60">
        <v>0</v>
      </c>
      <c r="E59" s="60">
        <v>0</v>
      </c>
      <c r="F59" s="60"/>
      <c r="G59" s="60">
        <v>1227397.2779972635</v>
      </c>
      <c r="H59" s="60">
        <v>254196.97200273647</v>
      </c>
      <c r="I59" s="60">
        <v>0</v>
      </c>
      <c r="J59" s="60"/>
      <c r="K59" s="60">
        <v>12809999.559285603</v>
      </c>
      <c r="L59" s="60">
        <v>2093914.8007143983</v>
      </c>
      <c r="M59" s="60">
        <v>0</v>
      </c>
      <c r="N59" s="60"/>
      <c r="O59" s="60">
        <v>0</v>
      </c>
      <c r="P59" s="60">
        <v>0</v>
      </c>
      <c r="Q59" s="60">
        <v>0</v>
      </c>
      <c r="R59" s="60"/>
      <c r="S59" s="60">
        <v>4316.9192196253116</v>
      </c>
      <c r="T59" s="60">
        <v>721.73078037468781</v>
      </c>
      <c r="U59" s="60">
        <v>0</v>
      </c>
      <c r="V59" s="60"/>
      <c r="W59" s="60">
        <v>8503.9268938072873</v>
      </c>
      <c r="X59" s="60">
        <v>173.75310619271187</v>
      </c>
      <c r="Y59" s="60">
        <v>0</v>
      </c>
      <c r="Z59" s="461"/>
      <c r="AA59" s="461"/>
      <c r="AB59" s="461"/>
    </row>
    <row r="60" spans="1:28" collapsed="1" x14ac:dyDescent="0.25">
      <c r="A60" s="662" t="s">
        <v>1390</v>
      </c>
      <c r="B60" s="664">
        <v>8012</v>
      </c>
      <c r="C60" s="60">
        <v>168034.23774045531</v>
      </c>
      <c r="D60" s="60">
        <v>461506.34225954476</v>
      </c>
      <c r="E60" s="60">
        <v>0</v>
      </c>
      <c r="F60" s="60"/>
      <c r="G60" s="60">
        <v>1095285.0318836188</v>
      </c>
      <c r="H60" s="60">
        <v>2940241.0681163818</v>
      </c>
      <c r="I60" s="60">
        <v>0</v>
      </c>
      <c r="J60" s="60"/>
      <c r="K60" s="60">
        <v>7724215.7416085312</v>
      </c>
      <c r="L60" s="60">
        <v>21688343.998391464</v>
      </c>
      <c r="M60" s="60">
        <v>0</v>
      </c>
      <c r="N60" s="60"/>
      <c r="O60" s="60">
        <v>0</v>
      </c>
      <c r="P60" s="60">
        <v>0</v>
      </c>
      <c r="Q60" s="60">
        <v>0</v>
      </c>
      <c r="R60" s="60"/>
      <c r="S60" s="60">
        <v>0</v>
      </c>
      <c r="T60" s="60">
        <v>0</v>
      </c>
      <c r="U60" s="60">
        <v>0</v>
      </c>
      <c r="V60" s="60"/>
      <c r="W60" s="60">
        <v>147755.23000000001</v>
      </c>
      <c r="X60" s="60">
        <v>0</v>
      </c>
      <c r="Y60" s="60">
        <v>0</v>
      </c>
      <c r="Z60" s="461"/>
      <c r="AA60" s="461"/>
      <c r="AB60" s="461"/>
    </row>
    <row r="61" spans="1:28" collapsed="1" x14ac:dyDescent="0.25">
      <c r="A61" s="662" t="s">
        <v>1391</v>
      </c>
      <c r="B61" s="664">
        <v>8016</v>
      </c>
      <c r="C61" s="60"/>
      <c r="D61" s="60"/>
      <c r="E61" s="60"/>
      <c r="F61" s="60"/>
      <c r="G61" s="60"/>
      <c r="H61" s="60"/>
      <c r="I61" s="60"/>
      <c r="J61" s="60"/>
      <c r="K61" s="60"/>
      <c r="L61" s="60"/>
      <c r="M61" s="60"/>
      <c r="N61" s="60"/>
      <c r="O61" s="60"/>
      <c r="P61" s="60"/>
      <c r="Q61" s="60"/>
      <c r="R61" s="60"/>
      <c r="S61" s="60"/>
      <c r="T61" s="60"/>
      <c r="U61" s="60"/>
      <c r="V61" s="60"/>
      <c r="W61" s="60"/>
      <c r="X61" s="60"/>
      <c r="Y61" s="60"/>
      <c r="Z61" s="461"/>
      <c r="AA61" s="461"/>
      <c r="AB61" s="461"/>
    </row>
    <row r="62" spans="1:28" collapsed="1" x14ac:dyDescent="0.25">
      <c r="A62" s="662" t="s">
        <v>1392</v>
      </c>
      <c r="B62" s="664">
        <v>8098</v>
      </c>
      <c r="C62" s="60"/>
      <c r="D62" s="60"/>
      <c r="E62" s="60"/>
      <c r="F62" s="60"/>
      <c r="G62" s="60"/>
      <c r="H62" s="60"/>
      <c r="I62" s="60"/>
      <c r="J62" s="60"/>
      <c r="K62" s="60"/>
      <c r="L62" s="60"/>
      <c r="M62" s="60"/>
      <c r="N62" s="60"/>
      <c r="O62" s="60"/>
      <c r="P62" s="60"/>
      <c r="Q62" s="60"/>
      <c r="R62" s="60"/>
      <c r="S62" s="60"/>
      <c r="T62" s="60"/>
      <c r="U62" s="60"/>
      <c r="V62" s="60"/>
      <c r="W62" s="60"/>
      <c r="X62" s="60"/>
      <c r="Y62" s="60"/>
      <c r="Z62" s="461"/>
      <c r="AA62" s="461"/>
      <c r="AB62" s="461"/>
    </row>
    <row r="63" spans="1:28" collapsed="1" x14ac:dyDescent="0.25">
      <c r="A63" s="662" t="s">
        <v>1393</v>
      </c>
      <c r="B63" s="664">
        <v>8017</v>
      </c>
      <c r="C63" s="60"/>
      <c r="D63" s="60"/>
      <c r="E63" s="60"/>
      <c r="F63" s="60"/>
      <c r="G63" s="60"/>
      <c r="H63" s="60"/>
      <c r="I63" s="60"/>
      <c r="J63" s="60"/>
      <c r="K63" s="60"/>
      <c r="L63" s="60"/>
      <c r="M63" s="60"/>
      <c r="N63" s="60"/>
      <c r="O63" s="60"/>
      <c r="P63" s="60"/>
      <c r="Q63" s="60"/>
      <c r="R63" s="60"/>
      <c r="S63" s="60"/>
      <c r="T63" s="60"/>
      <c r="U63" s="60"/>
      <c r="V63" s="60"/>
      <c r="W63" s="60"/>
      <c r="X63" s="60"/>
      <c r="Y63" s="60"/>
      <c r="Z63" s="461"/>
      <c r="AA63" s="461"/>
      <c r="AB63" s="461"/>
    </row>
    <row r="64" spans="1:28" collapsed="1" x14ac:dyDescent="0.25">
      <c r="A64" s="662" t="s">
        <v>1394</v>
      </c>
      <c r="B64" s="664">
        <v>8099</v>
      </c>
      <c r="C64" s="60"/>
      <c r="D64" s="60"/>
      <c r="E64" s="60"/>
      <c r="F64" s="60"/>
      <c r="G64" s="60"/>
      <c r="H64" s="60"/>
      <c r="I64" s="60"/>
      <c r="J64" s="60"/>
      <c r="K64" s="60"/>
      <c r="L64" s="60"/>
      <c r="M64" s="60"/>
      <c r="N64" s="60"/>
      <c r="O64" s="60"/>
      <c r="P64" s="60"/>
      <c r="Q64" s="60"/>
      <c r="R64" s="60"/>
      <c r="S64" s="60"/>
      <c r="T64" s="60"/>
      <c r="U64" s="60"/>
      <c r="V64" s="60"/>
      <c r="W64" s="60"/>
      <c r="X64" s="60"/>
      <c r="Y64" s="60"/>
      <c r="Z64" s="461"/>
      <c r="AA64" s="461"/>
      <c r="AB64" s="461"/>
    </row>
    <row r="65" spans="1:28" collapsed="1" x14ac:dyDescent="0.25">
      <c r="A65" s="662" t="s">
        <v>1395</v>
      </c>
      <c r="B65" s="664">
        <v>8004</v>
      </c>
      <c r="C65" s="60"/>
      <c r="D65" s="60"/>
      <c r="E65" s="60"/>
      <c r="F65" s="60"/>
      <c r="G65" s="60"/>
      <c r="H65" s="60"/>
      <c r="I65" s="60"/>
      <c r="J65" s="60"/>
      <c r="K65" s="60"/>
      <c r="L65" s="60"/>
      <c r="M65" s="60"/>
      <c r="N65" s="60"/>
      <c r="O65" s="60"/>
      <c r="P65" s="60"/>
      <c r="Q65" s="60"/>
      <c r="R65" s="60"/>
      <c r="S65" s="60"/>
      <c r="T65" s="60"/>
      <c r="U65" s="60"/>
      <c r="V65" s="60"/>
      <c r="W65" s="60"/>
      <c r="X65" s="60"/>
      <c r="Y65" s="60"/>
      <c r="Z65" s="461"/>
      <c r="AA65" s="461"/>
      <c r="AB65" s="461"/>
    </row>
    <row r="66" spans="1:28" ht="17.25" customHeight="1" collapsed="1" x14ac:dyDescent="0.25">
      <c r="A66" s="662" t="s">
        <v>1396</v>
      </c>
      <c r="B66" s="664">
        <v>8044</v>
      </c>
      <c r="C66" s="60"/>
      <c r="D66" s="60"/>
      <c r="E66" s="60"/>
      <c r="F66" s="60"/>
      <c r="G66" s="60"/>
      <c r="H66" s="60"/>
      <c r="I66" s="60"/>
      <c r="J66" s="60"/>
      <c r="K66" s="60"/>
      <c r="L66" s="60"/>
      <c r="M66" s="60"/>
      <c r="N66" s="60"/>
      <c r="O66" s="60"/>
      <c r="P66" s="60"/>
      <c r="Q66" s="60"/>
      <c r="R66" s="60"/>
      <c r="S66" s="60"/>
      <c r="T66" s="60"/>
      <c r="U66" s="60"/>
      <c r="V66" s="60"/>
      <c r="W66" s="60"/>
      <c r="X66" s="60"/>
      <c r="Y66" s="60"/>
      <c r="Z66" s="461"/>
      <c r="AA66" s="461"/>
      <c r="AB66" s="461"/>
    </row>
    <row r="67" spans="1:28" collapsed="1" x14ac:dyDescent="0.25">
      <c r="A67" s="662" t="s">
        <v>1397</v>
      </c>
      <c r="B67" s="664">
        <v>8036</v>
      </c>
      <c r="C67" s="60"/>
      <c r="D67" s="60"/>
      <c r="E67" s="60"/>
      <c r="F67" s="60"/>
      <c r="G67" s="60"/>
      <c r="H67" s="60"/>
      <c r="I67" s="60"/>
      <c r="J67" s="60"/>
      <c r="K67" s="60"/>
      <c r="L67" s="60"/>
      <c r="M67" s="60"/>
      <c r="N67" s="60"/>
      <c r="O67" s="60"/>
      <c r="P67" s="60"/>
      <c r="Q67" s="60"/>
      <c r="R67" s="60"/>
      <c r="S67" s="60"/>
      <c r="T67" s="60"/>
      <c r="U67" s="60"/>
      <c r="V67" s="60"/>
      <c r="W67" s="60"/>
      <c r="X67" s="60"/>
      <c r="Y67" s="60"/>
      <c r="Z67" s="461"/>
      <c r="AA67" s="461"/>
      <c r="AB67" s="461"/>
    </row>
    <row r="68" spans="1:28" collapsed="1" x14ac:dyDescent="0.25">
      <c r="A68" s="662" t="s">
        <v>1398</v>
      </c>
      <c r="B68" s="664">
        <v>8345</v>
      </c>
      <c r="C68" s="60"/>
      <c r="D68" s="60"/>
      <c r="E68" s="60"/>
      <c r="F68" s="60"/>
      <c r="G68" s="60"/>
      <c r="H68" s="60"/>
      <c r="I68" s="60"/>
      <c r="J68" s="60"/>
      <c r="K68" s="60"/>
      <c r="L68" s="60"/>
      <c r="M68" s="60"/>
      <c r="N68" s="60"/>
      <c r="O68" s="60"/>
      <c r="P68" s="60"/>
      <c r="Q68" s="60"/>
      <c r="R68" s="60"/>
      <c r="S68" s="60"/>
      <c r="T68" s="60"/>
      <c r="U68" s="60"/>
      <c r="V68" s="60"/>
      <c r="W68" s="60"/>
      <c r="X68" s="60"/>
      <c r="Y68" s="60"/>
      <c r="Z68" s="461"/>
      <c r="AA68" s="461"/>
      <c r="AB68" s="461"/>
    </row>
    <row r="69" spans="1:28" collapsed="1" x14ac:dyDescent="0.25">
      <c r="A69" s="57" t="s">
        <v>1399</v>
      </c>
      <c r="B69" s="117">
        <v>8037</v>
      </c>
      <c r="C69" s="60">
        <v>2228.2803868731094</v>
      </c>
      <c r="D69" s="60">
        <v>14885.469613126892</v>
      </c>
      <c r="E69" s="60">
        <v>0</v>
      </c>
      <c r="F69" s="60"/>
      <c r="G69" s="60">
        <v>12137.991914816937</v>
      </c>
      <c r="H69" s="60">
        <v>82476.948085183074</v>
      </c>
      <c r="I69" s="60">
        <v>0</v>
      </c>
      <c r="J69" s="60"/>
      <c r="K69" s="60">
        <v>857763.39310165425</v>
      </c>
      <c r="L69" s="60">
        <v>5728681.606898346</v>
      </c>
      <c r="M69" s="60">
        <v>0</v>
      </c>
      <c r="N69" s="60"/>
      <c r="O69" s="60">
        <v>0</v>
      </c>
      <c r="P69" s="60">
        <v>0</v>
      </c>
      <c r="Q69" s="60">
        <v>0</v>
      </c>
      <c r="R69" s="60"/>
      <c r="S69" s="60">
        <v>0</v>
      </c>
      <c r="T69" s="60">
        <v>0</v>
      </c>
      <c r="U69" s="60">
        <v>0</v>
      </c>
      <c r="V69" s="60"/>
      <c r="W69" s="60">
        <v>0</v>
      </c>
      <c r="X69" s="60">
        <v>0</v>
      </c>
      <c r="Y69" s="60">
        <v>0</v>
      </c>
      <c r="Z69" s="461"/>
      <c r="AA69" s="461"/>
      <c r="AB69" s="461"/>
    </row>
    <row r="70" spans="1:28" collapsed="1" x14ac:dyDescent="0.25">
      <c r="A70" s="57" t="s">
        <v>1030</v>
      </c>
      <c r="B70" s="59" t="s">
        <v>1400</v>
      </c>
      <c r="C70" s="60">
        <v>4949.8635027554865</v>
      </c>
      <c r="D70" s="60">
        <v>3014.5764972445136</v>
      </c>
      <c r="E70" s="60">
        <v>0</v>
      </c>
      <c r="F70" s="60"/>
      <c r="G70" s="60">
        <v>64209.716554795115</v>
      </c>
      <c r="H70" s="60">
        <v>39352.223445204894</v>
      </c>
      <c r="I70" s="60">
        <v>0</v>
      </c>
      <c r="J70" s="60"/>
      <c r="K70" s="60">
        <v>4209840.3164457995</v>
      </c>
      <c r="L70" s="60">
        <v>2563638.9035542007</v>
      </c>
      <c r="M70" s="60">
        <v>0</v>
      </c>
      <c r="N70" s="60"/>
      <c r="O70" s="60">
        <v>0</v>
      </c>
      <c r="P70" s="60">
        <v>0</v>
      </c>
      <c r="Q70" s="60">
        <v>0</v>
      </c>
      <c r="R70" s="60"/>
      <c r="S70" s="60">
        <v>0</v>
      </c>
      <c r="T70" s="60">
        <v>0</v>
      </c>
      <c r="U70" s="60">
        <v>0</v>
      </c>
      <c r="V70" s="60"/>
      <c r="W70" s="60">
        <v>0</v>
      </c>
      <c r="X70" s="60">
        <v>0</v>
      </c>
      <c r="Y70" s="60">
        <v>0</v>
      </c>
      <c r="Z70" s="461"/>
      <c r="AA70" s="461"/>
      <c r="AB70" s="461"/>
    </row>
    <row r="71" spans="1:28" collapsed="1" x14ac:dyDescent="0.25">
      <c r="A71" s="57" t="s">
        <v>1031</v>
      </c>
      <c r="B71" s="59" t="s">
        <v>1401</v>
      </c>
      <c r="C71" s="60">
        <v>159283.17476894686</v>
      </c>
      <c r="D71" s="60">
        <v>155487.32523105308</v>
      </c>
      <c r="E71" s="60">
        <v>0</v>
      </c>
      <c r="F71" s="60"/>
      <c r="G71" s="60">
        <v>22182376.771513332</v>
      </c>
      <c r="H71" s="60">
        <v>12457170.00848667</v>
      </c>
      <c r="I71" s="60">
        <v>0</v>
      </c>
      <c r="J71" s="60"/>
      <c r="K71" s="60">
        <v>83169041.551748604</v>
      </c>
      <c r="L71" s="60">
        <v>87654453.838251442</v>
      </c>
      <c r="M71" s="60">
        <v>0</v>
      </c>
      <c r="N71" s="60"/>
      <c r="O71" s="60">
        <v>0</v>
      </c>
      <c r="P71" s="60">
        <v>0</v>
      </c>
      <c r="Q71" s="60">
        <v>0</v>
      </c>
      <c r="R71" s="60"/>
      <c r="S71" s="60">
        <v>0</v>
      </c>
      <c r="T71" s="60">
        <v>0</v>
      </c>
      <c r="U71" s="60">
        <v>0</v>
      </c>
      <c r="V71" s="60"/>
      <c r="W71" s="60">
        <v>55275.741440874277</v>
      </c>
      <c r="X71" s="60">
        <v>2783141.6885591261</v>
      </c>
      <c r="Y71" s="60">
        <v>0</v>
      </c>
      <c r="Z71" s="461"/>
      <c r="AA71" s="461"/>
      <c r="AB71" s="461"/>
    </row>
    <row r="72" spans="1:28" collapsed="1" x14ac:dyDescent="0.25">
      <c r="A72" s="57" t="s">
        <v>1402</v>
      </c>
      <c r="B72" s="59">
        <v>8049</v>
      </c>
      <c r="C72" s="60">
        <v>18831.568805125495</v>
      </c>
      <c r="D72" s="60">
        <v>3256.501194874505</v>
      </c>
      <c r="E72" s="60">
        <v>0</v>
      </c>
      <c r="F72" s="60"/>
      <c r="G72" s="60">
        <v>5151040.3699562075</v>
      </c>
      <c r="H72" s="60">
        <v>179081.19004379242</v>
      </c>
      <c r="I72" s="60">
        <v>0</v>
      </c>
      <c r="J72" s="60"/>
      <c r="K72" s="60">
        <v>49348357.723540641</v>
      </c>
      <c r="L72" s="60">
        <v>9245378.176459372</v>
      </c>
      <c r="M72" s="60">
        <v>0</v>
      </c>
      <c r="N72" s="60"/>
      <c r="O72" s="60">
        <v>0</v>
      </c>
      <c r="P72" s="60">
        <v>0</v>
      </c>
      <c r="Q72" s="60">
        <v>0</v>
      </c>
      <c r="R72" s="60"/>
      <c r="S72" s="60">
        <v>0</v>
      </c>
      <c r="T72" s="60">
        <v>0</v>
      </c>
      <c r="U72" s="60">
        <v>0</v>
      </c>
      <c r="V72" s="60"/>
      <c r="W72" s="60">
        <v>0</v>
      </c>
      <c r="X72" s="60">
        <v>0</v>
      </c>
      <c r="Y72" s="60">
        <v>0</v>
      </c>
      <c r="Z72" s="461"/>
      <c r="AA72" s="461"/>
      <c r="AB72" s="461"/>
    </row>
    <row r="73" spans="1:28" collapsed="1" x14ac:dyDescent="0.25">
      <c r="A73" s="57" t="s">
        <v>1403</v>
      </c>
      <c r="B73" s="117">
        <v>5064</v>
      </c>
      <c r="C73" s="61">
        <v>10568.086430172169</v>
      </c>
      <c r="D73" s="61">
        <v>41540.903569827831</v>
      </c>
      <c r="E73" s="61">
        <v>0</v>
      </c>
      <c r="F73" s="60"/>
      <c r="G73" s="61">
        <v>1654160.7743027122</v>
      </c>
      <c r="H73" s="61">
        <v>6377637.7556972886</v>
      </c>
      <c r="I73" s="61">
        <v>0</v>
      </c>
      <c r="J73" s="60"/>
      <c r="K73" s="61">
        <v>12335932.628222799</v>
      </c>
      <c r="L73" s="61">
        <v>48580175.471777201</v>
      </c>
      <c r="M73" s="61">
        <v>0</v>
      </c>
      <c r="N73" s="60"/>
      <c r="O73" s="61">
        <v>0</v>
      </c>
      <c r="P73" s="61">
        <v>0</v>
      </c>
      <c r="Q73" s="61">
        <v>0</v>
      </c>
      <c r="R73" s="60"/>
      <c r="S73" s="61">
        <v>92260.266059449394</v>
      </c>
      <c r="T73" s="61">
        <v>362655.51394055062</v>
      </c>
      <c r="U73" s="61">
        <v>0</v>
      </c>
      <c r="V73" s="60"/>
      <c r="W73" s="61">
        <v>0</v>
      </c>
      <c r="X73" s="61">
        <v>34273.07</v>
      </c>
      <c r="Y73" s="61">
        <v>0</v>
      </c>
      <c r="Z73" s="461"/>
      <c r="AA73" s="461"/>
      <c r="AB73" s="461"/>
    </row>
    <row r="74" spans="1:28" collapsed="1" x14ac:dyDescent="0.25">
      <c r="A74" s="57" t="s">
        <v>1404</v>
      </c>
      <c r="B74" s="117">
        <v>5025</v>
      </c>
      <c r="C74" s="61">
        <v>33845.112146383071</v>
      </c>
      <c r="D74" s="61">
        <v>29712.047853616939</v>
      </c>
      <c r="E74" s="61">
        <v>0</v>
      </c>
      <c r="F74" s="60"/>
      <c r="G74" s="61">
        <v>50923.28494509439</v>
      </c>
      <c r="H74" s="61">
        <v>44704.685054905611</v>
      </c>
      <c r="I74" s="61">
        <v>0</v>
      </c>
      <c r="J74" s="60"/>
      <c r="K74" s="61">
        <v>6720744.5860641934</v>
      </c>
      <c r="L74" s="61">
        <v>5900027.2739358088</v>
      </c>
      <c r="M74" s="61">
        <v>0</v>
      </c>
      <c r="N74" s="60"/>
      <c r="O74" s="61">
        <v>0</v>
      </c>
      <c r="P74" s="61">
        <v>0</v>
      </c>
      <c r="Q74" s="61">
        <v>0</v>
      </c>
      <c r="R74" s="60"/>
      <c r="S74" s="61">
        <v>0</v>
      </c>
      <c r="T74" s="61">
        <v>0</v>
      </c>
      <c r="U74" s="61">
        <v>0</v>
      </c>
      <c r="V74" s="60"/>
      <c r="W74" s="61">
        <v>0</v>
      </c>
      <c r="X74" s="61">
        <v>0</v>
      </c>
      <c r="Y74" s="61">
        <v>0</v>
      </c>
      <c r="Z74" s="461"/>
      <c r="AA74" s="461"/>
      <c r="AB74" s="461"/>
    </row>
    <row r="75" spans="1:28" collapsed="1" x14ac:dyDescent="0.25">
      <c r="A75" s="57" t="s">
        <v>1405</v>
      </c>
      <c r="B75" s="118">
        <v>5052</v>
      </c>
      <c r="C75" s="135">
        <v>21969.428036242389</v>
      </c>
      <c r="D75" s="135">
        <v>13.311963757610599</v>
      </c>
      <c r="E75" s="135">
        <v>0</v>
      </c>
      <c r="F75" s="60"/>
      <c r="G75" s="135">
        <v>1599574.9007907466</v>
      </c>
      <c r="H75" s="135">
        <v>968.48920925325615</v>
      </c>
      <c r="I75" s="135">
        <v>0</v>
      </c>
      <c r="J75" s="136"/>
      <c r="K75" s="135">
        <v>68960888.217131972</v>
      </c>
      <c r="L75" s="135">
        <v>41786.302868012965</v>
      </c>
      <c r="M75" s="135">
        <v>0</v>
      </c>
      <c r="N75" s="136"/>
      <c r="O75" s="135">
        <v>0</v>
      </c>
      <c r="P75" s="135">
        <v>0</v>
      </c>
      <c r="Q75" s="135">
        <v>0</v>
      </c>
      <c r="R75" s="136"/>
      <c r="S75" s="135">
        <v>0</v>
      </c>
      <c r="T75" s="135">
        <v>0</v>
      </c>
      <c r="U75" s="135">
        <v>0</v>
      </c>
      <c r="V75" s="136"/>
      <c r="W75" s="135">
        <v>0</v>
      </c>
      <c r="X75" s="135">
        <v>0</v>
      </c>
      <c r="Y75" s="135">
        <v>0</v>
      </c>
      <c r="Z75" s="461"/>
      <c r="AA75" s="461"/>
      <c r="AB75" s="461"/>
    </row>
    <row r="76" spans="1:28" collapsed="1" x14ac:dyDescent="0.25">
      <c r="A76" s="662" t="s">
        <v>1406</v>
      </c>
      <c r="B76" s="664">
        <v>5539</v>
      </c>
      <c r="C76" s="60"/>
      <c r="D76" s="60"/>
      <c r="E76" s="60"/>
      <c r="F76" s="60"/>
      <c r="G76" s="60"/>
      <c r="H76" s="60"/>
      <c r="I76" s="60"/>
      <c r="J76" s="60"/>
      <c r="K76" s="60"/>
      <c r="L76" s="60"/>
      <c r="M76" s="60"/>
      <c r="N76" s="60"/>
      <c r="O76" s="60"/>
      <c r="P76" s="60"/>
      <c r="Q76" s="60"/>
      <c r="R76" s="60"/>
      <c r="S76" s="60"/>
      <c r="T76" s="60"/>
      <c r="U76" s="60"/>
      <c r="V76" s="60"/>
      <c r="W76" s="60"/>
      <c r="X76" s="60"/>
      <c r="Y76" s="60"/>
      <c r="Z76" s="461"/>
      <c r="AA76" s="461"/>
      <c r="AB76" s="461"/>
    </row>
    <row r="77" spans="1:28" collapsed="1" x14ac:dyDescent="0.25">
      <c r="A77" s="662" t="s">
        <v>1407</v>
      </c>
      <c r="B77" s="664">
        <v>5599</v>
      </c>
      <c r="C77" s="60"/>
      <c r="D77" s="60"/>
      <c r="E77" s="60"/>
      <c r="F77" s="60"/>
      <c r="G77" s="60"/>
      <c r="H77" s="60"/>
      <c r="I77" s="60"/>
      <c r="J77" s="60"/>
      <c r="K77" s="60"/>
      <c r="L77" s="60"/>
      <c r="M77" s="60"/>
      <c r="N77" s="60"/>
      <c r="O77" s="60"/>
      <c r="P77" s="60"/>
      <c r="Q77" s="60"/>
      <c r="R77" s="60"/>
      <c r="S77" s="60"/>
      <c r="T77" s="60"/>
      <c r="U77" s="60"/>
      <c r="V77" s="60"/>
      <c r="W77" s="60"/>
      <c r="X77" s="60"/>
      <c r="Y77" s="60"/>
      <c r="Z77" s="461"/>
      <c r="AA77" s="461"/>
      <c r="AB77" s="461"/>
    </row>
    <row r="78" spans="1:28" collapsed="1" x14ac:dyDescent="0.25">
      <c r="A78" s="662" t="s">
        <v>1408</v>
      </c>
      <c r="B78" s="664">
        <v>5564</v>
      </c>
      <c r="C78" s="60"/>
      <c r="D78" s="60"/>
      <c r="E78" s="60"/>
      <c r="F78" s="60"/>
      <c r="G78" s="60"/>
      <c r="H78" s="60"/>
      <c r="I78" s="60"/>
      <c r="J78" s="60"/>
      <c r="K78" s="60"/>
      <c r="L78" s="60"/>
      <c r="M78" s="60"/>
      <c r="N78" s="60"/>
      <c r="O78" s="60"/>
      <c r="P78" s="60"/>
      <c r="Q78" s="60"/>
      <c r="R78" s="60"/>
      <c r="S78" s="60"/>
      <c r="T78" s="60"/>
      <c r="U78" s="60"/>
      <c r="V78" s="60"/>
      <c r="W78" s="60"/>
      <c r="X78" s="60"/>
      <c r="Y78" s="60"/>
      <c r="Z78" s="461"/>
      <c r="AA78" s="461"/>
      <c r="AB78" s="461"/>
    </row>
    <row r="79" spans="1:28" collapsed="1" x14ac:dyDescent="0.25">
      <c r="A79" s="662" t="s">
        <v>1409</v>
      </c>
      <c r="B79" s="664">
        <v>5518</v>
      </c>
      <c r="C79" s="60"/>
      <c r="D79" s="60"/>
      <c r="E79" s="60"/>
      <c r="F79" s="60"/>
      <c r="G79" s="60"/>
      <c r="H79" s="60"/>
      <c r="I79" s="60"/>
      <c r="J79" s="60"/>
      <c r="K79" s="60"/>
      <c r="L79" s="60"/>
      <c r="M79" s="60"/>
      <c r="N79" s="60"/>
      <c r="O79" s="60"/>
      <c r="P79" s="60"/>
      <c r="Q79" s="60"/>
      <c r="R79" s="60"/>
      <c r="S79" s="60"/>
      <c r="T79" s="60"/>
      <c r="U79" s="60"/>
      <c r="V79" s="60"/>
      <c r="W79" s="60"/>
      <c r="X79" s="60"/>
      <c r="Y79" s="60"/>
      <c r="Z79" s="461"/>
      <c r="AA79" s="461"/>
      <c r="AB79" s="461"/>
    </row>
    <row r="80" spans="1:28" collapsed="1" x14ac:dyDescent="0.25">
      <c r="A80" s="662" t="s">
        <v>1410</v>
      </c>
      <c r="B80" s="664">
        <v>5522</v>
      </c>
      <c r="C80" s="60"/>
      <c r="D80" s="60"/>
      <c r="E80" s="60"/>
      <c r="F80" s="60"/>
      <c r="G80" s="60"/>
      <c r="H80" s="60"/>
      <c r="I80" s="60"/>
      <c r="J80" s="60"/>
      <c r="K80" s="60"/>
      <c r="L80" s="60"/>
      <c r="M80" s="60"/>
      <c r="N80" s="60"/>
      <c r="O80" s="60"/>
      <c r="P80" s="60"/>
      <c r="Q80" s="60"/>
      <c r="R80" s="60"/>
      <c r="S80" s="60"/>
      <c r="T80" s="60"/>
      <c r="U80" s="60"/>
      <c r="V80" s="60"/>
      <c r="W80" s="60"/>
      <c r="X80" s="60"/>
      <c r="Y80" s="60"/>
      <c r="Z80" s="461"/>
      <c r="AA80" s="461"/>
      <c r="AB80" s="461"/>
    </row>
    <row r="81" spans="1:28" collapsed="1" x14ac:dyDescent="0.25">
      <c r="A81" s="662" t="s">
        <v>1411</v>
      </c>
      <c r="B81" s="664">
        <v>5548</v>
      </c>
      <c r="C81" s="60"/>
      <c r="D81" s="60"/>
      <c r="E81" s="60"/>
      <c r="F81" s="60"/>
      <c r="G81" s="60"/>
      <c r="H81" s="60"/>
      <c r="I81" s="60"/>
      <c r="J81" s="60"/>
      <c r="K81" s="60"/>
      <c r="L81" s="60"/>
      <c r="M81" s="60"/>
      <c r="N81" s="60"/>
      <c r="O81" s="60"/>
      <c r="P81" s="60"/>
      <c r="Q81" s="60"/>
      <c r="R81" s="60"/>
      <c r="S81" s="60"/>
      <c r="T81" s="60"/>
      <c r="U81" s="60"/>
      <c r="V81" s="60"/>
      <c r="W81" s="60"/>
      <c r="X81" s="60"/>
      <c r="Y81" s="60"/>
      <c r="Z81" s="461"/>
      <c r="AA81" s="461"/>
      <c r="AB81" s="461"/>
    </row>
    <row r="82" spans="1:28" collapsed="1" x14ac:dyDescent="0.25">
      <c r="A82" s="662" t="s">
        <v>1412</v>
      </c>
      <c r="B82" s="664">
        <v>5545</v>
      </c>
      <c r="C82" s="60"/>
      <c r="D82" s="60"/>
      <c r="E82" s="60"/>
      <c r="F82" s="60"/>
      <c r="G82" s="60"/>
      <c r="H82" s="60"/>
      <c r="I82" s="60"/>
      <c r="J82" s="60"/>
      <c r="K82" s="60"/>
      <c r="L82" s="60"/>
      <c r="M82" s="60"/>
      <c r="N82" s="60"/>
      <c r="O82" s="60"/>
      <c r="P82" s="60"/>
      <c r="Q82" s="60"/>
      <c r="R82" s="60"/>
      <c r="S82" s="60"/>
      <c r="T82" s="60"/>
      <c r="U82" s="60"/>
      <c r="V82" s="60"/>
      <c r="W82" s="60"/>
      <c r="X82" s="60"/>
      <c r="Y82" s="60"/>
      <c r="Z82" s="461"/>
      <c r="AA82" s="461"/>
      <c r="AB82" s="461"/>
    </row>
    <row r="83" spans="1:28" collapsed="1" x14ac:dyDescent="0.25">
      <c r="A83" s="662" t="s">
        <v>1413</v>
      </c>
      <c r="B83" s="664">
        <v>5530</v>
      </c>
      <c r="C83" s="60"/>
      <c r="D83" s="60"/>
      <c r="E83" s="60"/>
      <c r="F83" s="60"/>
      <c r="G83" s="60"/>
      <c r="H83" s="60"/>
      <c r="I83" s="60"/>
      <c r="J83" s="60"/>
      <c r="K83" s="60"/>
      <c r="L83" s="60"/>
      <c r="M83" s="60"/>
      <c r="N83" s="60"/>
      <c r="O83" s="60"/>
      <c r="P83" s="60"/>
      <c r="Q83" s="60"/>
      <c r="R83" s="60"/>
      <c r="S83" s="60"/>
      <c r="T83" s="60"/>
      <c r="U83" s="60"/>
      <c r="V83" s="60"/>
      <c r="W83" s="60"/>
      <c r="X83" s="60"/>
      <c r="Y83" s="60"/>
      <c r="Z83" s="461"/>
      <c r="AA83" s="461"/>
      <c r="AB83" s="461"/>
    </row>
    <row r="84" spans="1:28" collapsed="1" x14ac:dyDescent="0.25">
      <c r="A84" s="662" t="s">
        <v>1414</v>
      </c>
      <c r="B84" s="664">
        <v>5514</v>
      </c>
      <c r="C84" s="60"/>
      <c r="D84" s="60"/>
      <c r="E84" s="60"/>
      <c r="F84" s="60"/>
      <c r="G84" s="60"/>
      <c r="H84" s="60"/>
      <c r="I84" s="60"/>
      <c r="J84" s="60"/>
      <c r="K84" s="60"/>
      <c r="L84" s="60"/>
      <c r="M84" s="60"/>
      <c r="N84" s="60"/>
      <c r="O84" s="60"/>
      <c r="P84" s="60"/>
      <c r="Q84" s="60"/>
      <c r="R84" s="60"/>
      <c r="S84" s="60"/>
      <c r="T84" s="60"/>
      <c r="U84" s="60"/>
      <c r="V84" s="60"/>
      <c r="W84" s="60"/>
      <c r="X84" s="60"/>
      <c r="Y84" s="60"/>
      <c r="Z84" s="461"/>
      <c r="AA84" s="461"/>
      <c r="AB84" s="461"/>
    </row>
    <row r="85" spans="1:28" collapsed="1" x14ac:dyDescent="0.25">
      <c r="A85" s="662" t="s">
        <v>1415</v>
      </c>
      <c r="B85" s="664">
        <v>5508</v>
      </c>
      <c r="C85" s="60"/>
      <c r="D85" s="60"/>
      <c r="E85" s="60"/>
      <c r="F85" s="60"/>
      <c r="G85" s="60"/>
      <c r="H85" s="60"/>
      <c r="I85" s="60"/>
      <c r="J85" s="60"/>
      <c r="K85" s="60"/>
      <c r="L85" s="60"/>
      <c r="M85" s="60"/>
      <c r="N85" s="60"/>
      <c r="O85" s="60"/>
      <c r="P85" s="60"/>
      <c r="Q85" s="60"/>
      <c r="R85" s="60"/>
      <c r="S85" s="60"/>
      <c r="T85" s="60"/>
      <c r="U85" s="60"/>
      <c r="V85" s="60"/>
      <c r="W85" s="60"/>
      <c r="X85" s="60"/>
      <c r="Y85" s="60"/>
      <c r="Z85" s="461"/>
      <c r="AA85" s="461"/>
      <c r="AB85" s="461"/>
    </row>
    <row r="86" spans="1:28" collapsed="1" x14ac:dyDescent="0.25">
      <c r="A86" s="662" t="s">
        <v>1416</v>
      </c>
      <c r="B86" s="664">
        <v>5511</v>
      </c>
      <c r="C86" s="60"/>
      <c r="D86" s="60"/>
      <c r="E86" s="60"/>
      <c r="F86" s="60"/>
      <c r="G86" s="60"/>
      <c r="H86" s="60"/>
      <c r="I86" s="60"/>
      <c r="J86" s="60"/>
      <c r="K86" s="60"/>
      <c r="L86" s="60"/>
      <c r="M86" s="60"/>
      <c r="N86" s="60"/>
      <c r="O86" s="60"/>
      <c r="P86" s="60"/>
      <c r="Q86" s="60"/>
      <c r="R86" s="60"/>
      <c r="S86" s="60"/>
      <c r="T86" s="60"/>
      <c r="U86" s="60"/>
      <c r="V86" s="60"/>
      <c r="W86" s="60"/>
      <c r="X86" s="60"/>
      <c r="Y86" s="60"/>
      <c r="Z86" s="461"/>
      <c r="AA86" s="461"/>
      <c r="AB86" s="461"/>
    </row>
    <row r="87" spans="1:28" collapsed="1" x14ac:dyDescent="0.25">
      <c r="A87" s="662" t="s">
        <v>1417</v>
      </c>
      <c r="B87" s="664">
        <v>5547</v>
      </c>
      <c r="C87" s="60"/>
      <c r="D87" s="60"/>
      <c r="E87" s="60"/>
      <c r="F87" s="60"/>
      <c r="G87" s="60"/>
      <c r="H87" s="60"/>
      <c r="I87" s="60"/>
      <c r="J87" s="60"/>
      <c r="K87" s="60"/>
      <c r="L87" s="60"/>
      <c r="M87" s="60"/>
      <c r="N87" s="60"/>
      <c r="O87" s="60"/>
      <c r="P87" s="60"/>
      <c r="Q87" s="60"/>
      <c r="R87" s="60"/>
      <c r="S87" s="60"/>
      <c r="T87" s="60"/>
      <c r="U87" s="60"/>
      <c r="V87" s="60"/>
      <c r="W87" s="60"/>
      <c r="X87" s="60"/>
      <c r="Y87" s="60"/>
      <c r="Z87" s="461"/>
      <c r="AA87" s="461"/>
      <c r="AB87" s="461"/>
    </row>
    <row r="88" spans="1:28" collapsed="1" x14ac:dyDescent="0.25">
      <c r="A88" s="662" t="s">
        <v>1418</v>
      </c>
      <c r="B88" s="664">
        <v>5541</v>
      </c>
      <c r="C88" s="60"/>
      <c r="D88" s="60"/>
      <c r="E88" s="60"/>
      <c r="F88" s="60"/>
      <c r="G88" s="60"/>
      <c r="H88" s="60"/>
      <c r="I88" s="60"/>
      <c r="J88" s="60"/>
      <c r="K88" s="60"/>
      <c r="L88" s="60"/>
      <c r="M88" s="60"/>
      <c r="N88" s="60"/>
      <c r="O88" s="60"/>
      <c r="P88" s="60"/>
      <c r="Q88" s="60"/>
      <c r="R88" s="60"/>
      <c r="S88" s="60"/>
      <c r="T88" s="60"/>
      <c r="U88" s="60"/>
      <c r="V88" s="60"/>
      <c r="W88" s="60"/>
      <c r="X88" s="60"/>
      <c r="Y88" s="60"/>
      <c r="Z88" s="461"/>
      <c r="AA88" s="461"/>
      <c r="AB88" s="461"/>
    </row>
    <row r="89" spans="1:28" collapsed="1" x14ac:dyDescent="0.25">
      <c r="A89" s="662" t="s">
        <v>1419</v>
      </c>
      <c r="B89" s="664">
        <v>5553</v>
      </c>
      <c r="C89" s="60"/>
      <c r="D89" s="60"/>
      <c r="E89" s="60"/>
      <c r="F89" s="60"/>
      <c r="G89" s="60"/>
      <c r="H89" s="60"/>
      <c r="I89" s="60"/>
      <c r="J89" s="60"/>
      <c r="K89" s="60"/>
      <c r="L89" s="60"/>
      <c r="M89" s="60"/>
      <c r="N89" s="60"/>
      <c r="O89" s="60"/>
      <c r="P89" s="60"/>
      <c r="Q89" s="60"/>
      <c r="R89" s="60"/>
      <c r="S89" s="60"/>
      <c r="T89" s="60"/>
      <c r="U89" s="60"/>
      <c r="V89" s="60"/>
      <c r="W89" s="60"/>
      <c r="X89" s="60"/>
      <c r="Y89" s="60"/>
      <c r="Z89" s="461"/>
      <c r="AA89" s="461"/>
      <c r="AB89" s="461"/>
    </row>
    <row r="90" spans="1:28" collapsed="1" x14ac:dyDescent="0.25">
      <c r="A90" s="662" t="s">
        <v>1420</v>
      </c>
      <c r="B90" s="664">
        <v>5357</v>
      </c>
      <c r="C90" s="60"/>
      <c r="D90" s="60"/>
      <c r="E90" s="60"/>
      <c r="F90" s="60"/>
      <c r="G90" s="60"/>
      <c r="H90" s="60"/>
      <c r="I90" s="60"/>
      <c r="J90" s="60"/>
      <c r="K90" s="60"/>
      <c r="L90" s="60"/>
      <c r="M90" s="60"/>
      <c r="N90" s="60"/>
      <c r="O90" s="60"/>
      <c r="P90" s="60"/>
      <c r="Q90" s="60"/>
      <c r="R90" s="60"/>
      <c r="S90" s="60"/>
      <c r="T90" s="60"/>
      <c r="U90" s="60"/>
      <c r="V90" s="60"/>
      <c r="W90" s="60"/>
      <c r="X90" s="60"/>
      <c r="Y90" s="60"/>
      <c r="Z90" s="461"/>
      <c r="AA90" s="461"/>
      <c r="AB90" s="461"/>
    </row>
    <row r="91" spans="1:28" x14ac:dyDescent="0.25">
      <c r="A91" s="670" t="s">
        <v>3320</v>
      </c>
      <c r="B91" s="664">
        <v>5566</v>
      </c>
      <c r="C91" s="60"/>
      <c r="D91" s="60"/>
      <c r="E91" s="60"/>
      <c r="F91" s="60"/>
      <c r="G91" s="60"/>
      <c r="H91" s="60"/>
      <c r="I91" s="60"/>
      <c r="J91" s="60"/>
      <c r="K91" s="60"/>
      <c r="L91" s="60"/>
      <c r="M91" s="60"/>
      <c r="N91" s="60"/>
      <c r="O91" s="60"/>
      <c r="P91" s="60"/>
      <c r="Q91" s="60"/>
      <c r="R91" s="60"/>
      <c r="S91" s="60"/>
      <c r="T91" s="60"/>
      <c r="U91" s="60"/>
      <c r="V91" s="60"/>
      <c r="W91" s="60"/>
      <c r="X91" s="60"/>
      <c r="Y91" s="60"/>
      <c r="Z91" s="461"/>
      <c r="AA91" s="461"/>
      <c r="AB91" s="461"/>
    </row>
    <row r="92" spans="1:28" collapsed="1" x14ac:dyDescent="0.25">
      <c r="A92" s="662" t="s">
        <v>1421</v>
      </c>
      <c r="B92" s="664">
        <v>2305</v>
      </c>
      <c r="C92" s="61"/>
      <c r="D92" s="61"/>
      <c r="E92" s="61"/>
      <c r="F92" s="60"/>
      <c r="G92" s="61"/>
      <c r="H92" s="61"/>
      <c r="I92" s="61"/>
      <c r="J92" s="60"/>
      <c r="K92" s="61"/>
      <c r="L92" s="61"/>
      <c r="M92" s="61"/>
      <c r="N92" s="60"/>
      <c r="O92" s="61"/>
      <c r="P92" s="61"/>
      <c r="Q92" s="61"/>
      <c r="R92" s="60"/>
      <c r="S92" s="61"/>
      <c r="T92" s="61"/>
      <c r="U92" s="61"/>
      <c r="V92" s="60"/>
      <c r="W92" s="61"/>
      <c r="X92" s="61"/>
      <c r="Y92" s="61"/>
      <c r="Z92" s="461"/>
      <c r="AA92" s="461"/>
      <c r="AB92" s="461"/>
    </row>
    <row r="93" spans="1:28" collapsed="1" x14ac:dyDescent="0.25">
      <c r="A93" s="662" t="s">
        <v>1422</v>
      </c>
      <c r="B93" s="664">
        <v>5512</v>
      </c>
      <c r="C93" s="60"/>
      <c r="D93" s="60"/>
      <c r="E93" s="60"/>
      <c r="F93" s="60"/>
      <c r="G93" s="60"/>
      <c r="H93" s="60"/>
      <c r="I93" s="60"/>
      <c r="J93" s="60"/>
      <c r="K93" s="60"/>
      <c r="L93" s="60"/>
      <c r="M93" s="60"/>
      <c r="N93" s="60"/>
      <c r="O93" s="60"/>
      <c r="P93" s="60"/>
      <c r="Q93" s="60"/>
      <c r="R93" s="60"/>
      <c r="S93" s="60"/>
      <c r="T93" s="60"/>
      <c r="U93" s="60"/>
      <c r="V93" s="60"/>
      <c r="W93" s="60"/>
      <c r="X93" s="60"/>
      <c r="Y93" s="60"/>
      <c r="Z93" s="461"/>
      <c r="AA93" s="461"/>
      <c r="AB93" s="461"/>
    </row>
    <row r="94" spans="1:28" collapsed="1" x14ac:dyDescent="0.25">
      <c r="A94" s="662" t="s">
        <v>1423</v>
      </c>
      <c r="B94" s="664">
        <v>5059</v>
      </c>
      <c r="C94" s="60">
        <v>110066.54350774967</v>
      </c>
      <c r="D94" s="60">
        <v>996.81649225033777</v>
      </c>
      <c r="E94" s="60">
        <v>0</v>
      </c>
      <c r="F94" s="60"/>
      <c r="G94" s="60">
        <v>887876.57514674088</v>
      </c>
      <c r="H94" s="60">
        <v>8041.0448532591763</v>
      </c>
      <c r="I94" s="60">
        <v>0</v>
      </c>
      <c r="J94" s="60"/>
      <c r="K94" s="60">
        <v>16696074.250877887</v>
      </c>
      <c r="L94" s="60">
        <v>148343.93912211625</v>
      </c>
      <c r="M94" s="60">
        <v>0</v>
      </c>
      <c r="N94" s="60"/>
      <c r="O94" s="60">
        <v>0</v>
      </c>
      <c r="P94" s="60">
        <v>0</v>
      </c>
      <c r="Q94" s="60">
        <v>0</v>
      </c>
      <c r="R94" s="60"/>
      <c r="S94" s="60">
        <v>29.361711865516142</v>
      </c>
      <c r="T94" s="60">
        <v>126.15828813448387</v>
      </c>
      <c r="U94" s="60">
        <v>0</v>
      </c>
      <c r="V94" s="60"/>
      <c r="W94" s="60">
        <v>638.57758570170085</v>
      </c>
      <c r="X94" s="60">
        <v>2743.7724142982993</v>
      </c>
      <c r="Y94" s="60">
        <v>0</v>
      </c>
      <c r="Z94" s="461"/>
      <c r="AA94" s="461"/>
      <c r="AB94" s="461"/>
    </row>
    <row r="95" spans="1:28" x14ac:dyDescent="0.25">
      <c r="A95" s="670" t="s">
        <v>3322</v>
      </c>
      <c r="B95" s="664">
        <v>5079</v>
      </c>
      <c r="C95" s="60"/>
      <c r="D95" s="60"/>
      <c r="E95" s="60"/>
      <c r="F95" s="60"/>
      <c r="G95" s="60"/>
      <c r="H95" s="60"/>
      <c r="I95" s="60"/>
      <c r="J95" s="60"/>
      <c r="K95" s="60"/>
      <c r="L95" s="60"/>
      <c r="M95" s="60"/>
      <c r="N95" s="60"/>
      <c r="O95" s="60"/>
      <c r="P95" s="60"/>
      <c r="Q95" s="60"/>
      <c r="R95" s="60"/>
      <c r="S95" s="60"/>
      <c r="T95" s="60"/>
      <c r="U95" s="60"/>
      <c r="V95" s="60"/>
      <c r="W95" s="60"/>
      <c r="X95" s="60"/>
      <c r="Y95" s="60"/>
      <c r="Z95" s="461"/>
      <c r="AA95" s="461"/>
      <c r="AB95" s="461"/>
    </row>
    <row r="96" spans="1:28" x14ac:dyDescent="0.25">
      <c r="A96" s="662" t="s">
        <v>1424</v>
      </c>
      <c r="B96" s="664">
        <v>5358</v>
      </c>
      <c r="C96" s="60"/>
      <c r="D96" s="60"/>
      <c r="E96" s="60"/>
      <c r="F96" s="60"/>
      <c r="G96" s="60"/>
      <c r="H96" s="60"/>
      <c r="I96" s="60"/>
      <c r="J96" s="60"/>
      <c r="K96" s="60"/>
      <c r="L96" s="60"/>
      <c r="M96" s="60"/>
      <c r="N96" s="60"/>
      <c r="O96" s="60"/>
      <c r="P96" s="60"/>
      <c r="Q96" s="60"/>
      <c r="R96" s="60"/>
      <c r="S96" s="60"/>
      <c r="T96" s="60"/>
      <c r="U96" s="60"/>
      <c r="V96" s="60"/>
      <c r="W96" s="60"/>
      <c r="X96" s="60"/>
      <c r="Y96" s="60"/>
      <c r="Z96" s="461"/>
      <c r="AA96" s="461"/>
      <c r="AB96" s="461"/>
    </row>
    <row r="97" spans="1:209" collapsed="1" x14ac:dyDescent="0.25">
      <c r="A97" s="662" t="s">
        <v>1024</v>
      </c>
      <c r="B97" s="664">
        <v>2234</v>
      </c>
      <c r="C97" s="61">
        <v>0</v>
      </c>
      <c r="D97" s="61">
        <v>0</v>
      </c>
      <c r="E97" s="61">
        <v>0</v>
      </c>
      <c r="F97" s="60"/>
      <c r="G97" s="61">
        <v>0</v>
      </c>
      <c r="H97" s="61">
        <v>0</v>
      </c>
      <c r="I97" s="61">
        <v>0</v>
      </c>
      <c r="J97" s="60"/>
      <c r="K97" s="61">
        <v>1031433.8299999998</v>
      </c>
      <c r="L97" s="61">
        <v>0</v>
      </c>
      <c r="M97" s="61">
        <v>0</v>
      </c>
      <c r="N97" s="60"/>
      <c r="O97" s="61">
        <v>0</v>
      </c>
      <c r="P97" s="61">
        <v>0</v>
      </c>
      <c r="Q97" s="61">
        <v>0</v>
      </c>
      <c r="R97" s="60"/>
      <c r="S97" s="61">
        <v>0</v>
      </c>
      <c r="T97" s="61">
        <v>0</v>
      </c>
      <c r="U97" s="61">
        <v>0</v>
      </c>
      <c r="V97" s="60"/>
      <c r="W97" s="61">
        <v>46173.16</v>
      </c>
      <c r="X97" s="61">
        <v>0</v>
      </c>
      <c r="Y97" s="61">
        <v>0</v>
      </c>
      <c r="Z97" s="461"/>
      <c r="AA97" s="461"/>
      <c r="AB97" s="461"/>
    </row>
    <row r="98" spans="1:209" collapsed="1" x14ac:dyDescent="0.25">
      <c r="A98" s="662" t="s">
        <v>1023</v>
      </c>
      <c r="B98" s="664">
        <v>8055</v>
      </c>
      <c r="C98" s="61">
        <v>0</v>
      </c>
      <c r="D98" s="61">
        <v>0</v>
      </c>
      <c r="E98" s="61">
        <v>0</v>
      </c>
      <c r="F98" s="60"/>
      <c r="G98" s="61">
        <v>1973284.0388846942</v>
      </c>
      <c r="H98" s="61">
        <v>0</v>
      </c>
      <c r="I98" s="61">
        <v>1467932.5611153066</v>
      </c>
      <c r="J98" s="60"/>
      <c r="K98" s="61">
        <v>10632542.284144025</v>
      </c>
      <c r="L98" s="61">
        <v>0</v>
      </c>
      <c r="M98" s="61">
        <v>7912468.8058559708</v>
      </c>
      <c r="N98" s="60"/>
      <c r="O98" s="61">
        <v>0</v>
      </c>
      <c r="P98" s="61">
        <v>0</v>
      </c>
      <c r="Q98" s="61">
        <v>0</v>
      </c>
      <c r="R98" s="60"/>
      <c r="S98" s="61">
        <v>0</v>
      </c>
      <c r="T98" s="61">
        <v>0</v>
      </c>
      <c r="U98" s="61">
        <v>0</v>
      </c>
      <c r="V98" s="60"/>
      <c r="W98" s="61">
        <v>3878.5</v>
      </c>
      <c r="X98" s="61">
        <v>0</v>
      </c>
      <c r="Y98" s="61">
        <v>0</v>
      </c>
      <c r="Z98" s="461"/>
      <c r="AA98" s="461"/>
      <c r="AB98" s="461"/>
    </row>
    <row r="99" spans="1:209" collapsed="1" x14ac:dyDescent="0.25">
      <c r="A99" s="662" t="s">
        <v>1022</v>
      </c>
      <c r="B99" s="664">
        <v>8074</v>
      </c>
      <c r="C99" s="61"/>
      <c r="D99" s="61"/>
      <c r="E99" s="61"/>
      <c r="F99" s="60"/>
      <c r="G99" s="61"/>
      <c r="H99" s="61"/>
      <c r="I99" s="61"/>
      <c r="J99" s="61"/>
      <c r="K99" s="61"/>
      <c r="L99" s="61"/>
      <c r="M99" s="61"/>
      <c r="N99" s="61"/>
      <c r="O99" s="61"/>
      <c r="P99" s="61"/>
      <c r="Q99" s="61"/>
      <c r="R99" s="61"/>
      <c r="S99" s="61"/>
      <c r="T99" s="61"/>
      <c r="U99" s="61"/>
      <c r="V99" s="61"/>
      <c r="W99" s="61"/>
      <c r="X99" s="61"/>
      <c r="Y99" s="61"/>
      <c r="Z99" s="461"/>
      <c r="AA99" s="461"/>
      <c r="AB99" s="461"/>
    </row>
    <row r="100" spans="1:209" x14ac:dyDescent="0.25">
      <c r="A100" s="670" t="s">
        <v>3347</v>
      </c>
      <c r="B100" s="664">
        <v>8504</v>
      </c>
      <c r="C100" s="61"/>
      <c r="D100" s="61"/>
      <c r="E100" s="61"/>
      <c r="F100" s="60"/>
      <c r="G100" s="61"/>
      <c r="H100" s="61"/>
      <c r="I100" s="61"/>
      <c r="J100" s="61"/>
      <c r="K100" s="61"/>
      <c r="L100" s="61"/>
      <c r="M100" s="61"/>
      <c r="N100" s="61"/>
      <c r="O100" s="61"/>
      <c r="P100" s="61"/>
      <c r="Q100" s="61"/>
      <c r="R100" s="61"/>
      <c r="S100" s="61"/>
      <c r="T100" s="61"/>
      <c r="U100" s="61"/>
      <c r="V100" s="61"/>
      <c r="W100" s="61"/>
      <c r="X100" s="61"/>
      <c r="Y100" s="61"/>
      <c r="Z100" s="461"/>
      <c r="AA100" s="461"/>
      <c r="AB100" s="461"/>
    </row>
    <row r="101" spans="1:209" collapsed="1" x14ac:dyDescent="0.25">
      <c r="A101" s="662" t="s">
        <v>1021</v>
      </c>
      <c r="B101" s="664">
        <v>2303</v>
      </c>
      <c r="C101" s="61"/>
      <c r="D101" s="61"/>
      <c r="E101" s="61"/>
      <c r="F101" s="60"/>
      <c r="G101" s="61"/>
      <c r="H101" s="61"/>
      <c r="I101" s="61"/>
      <c r="J101" s="60"/>
      <c r="K101" s="61"/>
      <c r="L101" s="61"/>
      <c r="M101" s="61"/>
      <c r="N101" s="60"/>
      <c r="O101" s="61"/>
      <c r="P101" s="61"/>
      <c r="Q101" s="61"/>
      <c r="R101" s="60"/>
      <c r="S101" s="61"/>
      <c r="T101" s="61"/>
      <c r="U101" s="61"/>
      <c r="V101" s="60"/>
      <c r="W101" s="61"/>
      <c r="X101" s="61"/>
      <c r="Y101" s="61"/>
      <c r="Z101" s="461"/>
      <c r="AA101" s="461"/>
      <c r="AB101" s="461"/>
    </row>
    <row r="102" spans="1:209" collapsed="1" x14ac:dyDescent="0.25">
      <c r="A102" s="662" t="s">
        <v>1020</v>
      </c>
      <c r="B102" s="664">
        <v>2307</v>
      </c>
      <c r="C102" s="61"/>
      <c r="D102" s="61"/>
      <c r="E102" s="61"/>
      <c r="F102" s="60"/>
      <c r="G102" s="61"/>
      <c r="H102" s="61"/>
      <c r="I102" s="61"/>
      <c r="J102" s="60"/>
      <c r="K102" s="61"/>
      <c r="L102" s="61"/>
      <c r="M102" s="61"/>
      <c r="N102" s="60"/>
      <c r="O102" s="61"/>
      <c r="P102" s="61"/>
      <c r="Q102" s="61"/>
      <c r="R102" s="60"/>
      <c r="S102" s="61"/>
      <c r="T102" s="61"/>
      <c r="U102" s="61"/>
      <c r="V102" s="60"/>
      <c r="W102" s="61"/>
      <c r="X102" s="61"/>
      <c r="Y102" s="61"/>
      <c r="Z102" s="461"/>
      <c r="AA102" s="461"/>
      <c r="AB102" s="461"/>
    </row>
    <row r="103" spans="1:209" collapsed="1" x14ac:dyDescent="0.25">
      <c r="A103" s="662" t="s">
        <v>1019</v>
      </c>
      <c r="B103" s="664">
        <v>2309</v>
      </c>
      <c r="C103" s="61"/>
      <c r="D103" s="61"/>
      <c r="E103" s="61"/>
      <c r="F103" s="60"/>
      <c r="G103" s="61"/>
      <c r="H103" s="61"/>
      <c r="I103" s="61"/>
      <c r="J103" s="60"/>
      <c r="K103" s="61"/>
      <c r="L103" s="61"/>
      <c r="M103" s="61"/>
      <c r="N103" s="60"/>
      <c r="O103" s="61"/>
      <c r="P103" s="61"/>
      <c r="Q103" s="61"/>
      <c r="R103" s="60"/>
      <c r="S103" s="61"/>
      <c r="T103" s="61"/>
      <c r="U103" s="61"/>
      <c r="V103" s="60"/>
      <c r="W103" s="61"/>
      <c r="X103" s="61"/>
      <c r="Y103" s="61"/>
      <c r="Z103" s="461"/>
      <c r="AA103" s="461"/>
      <c r="AB103" s="461"/>
    </row>
    <row r="104" spans="1:209" collapsed="1" x14ac:dyDescent="0.25">
      <c r="A104" s="662" t="s">
        <v>1018</v>
      </c>
      <c r="B104" s="664">
        <v>2560</v>
      </c>
      <c r="C104" s="61"/>
      <c r="D104" s="61"/>
      <c r="E104" s="61"/>
      <c r="F104" s="60"/>
      <c r="G104" s="61"/>
      <c r="H104" s="61"/>
      <c r="I104" s="61"/>
      <c r="J104" s="60"/>
      <c r="K104" s="61"/>
      <c r="L104" s="61"/>
      <c r="M104" s="61"/>
      <c r="N104" s="60"/>
      <c r="O104" s="61"/>
      <c r="P104" s="61"/>
      <c r="Q104" s="61"/>
      <c r="R104" s="60"/>
      <c r="S104" s="61"/>
      <c r="T104" s="61"/>
      <c r="U104" s="61"/>
      <c r="V104" s="60"/>
      <c r="W104" s="61"/>
      <c r="X104" s="61"/>
      <c r="Y104" s="61"/>
      <c r="Z104" s="461"/>
      <c r="AA104" s="461"/>
      <c r="AB104" s="461"/>
    </row>
    <row r="105" spans="1:209" x14ac:dyDescent="0.25">
      <c r="A105" s="662" t="s">
        <v>1017</v>
      </c>
      <c r="B105" s="664">
        <v>5048</v>
      </c>
      <c r="C105" s="61">
        <v>0</v>
      </c>
      <c r="D105" s="61">
        <v>45362.706899389559</v>
      </c>
      <c r="E105" s="61">
        <v>3741.5231006104432</v>
      </c>
      <c r="F105" s="60"/>
      <c r="G105" s="61">
        <v>0</v>
      </c>
      <c r="H105" s="61">
        <v>11176.712979956053</v>
      </c>
      <c r="I105" s="61">
        <v>921.85702004394489</v>
      </c>
      <c r="J105" s="60"/>
      <c r="K105" s="61">
        <v>0</v>
      </c>
      <c r="L105" s="61">
        <v>2302000.9635006259</v>
      </c>
      <c r="M105" s="61">
        <v>189869.39649937412</v>
      </c>
      <c r="N105" s="60"/>
      <c r="O105" s="61">
        <v>0</v>
      </c>
      <c r="P105" s="61">
        <v>0</v>
      </c>
      <c r="Q105" s="61">
        <v>0</v>
      </c>
      <c r="R105" s="60"/>
      <c r="S105" s="61">
        <v>0</v>
      </c>
      <c r="T105" s="61">
        <v>0</v>
      </c>
      <c r="U105" s="61">
        <v>0</v>
      </c>
      <c r="V105" s="60"/>
      <c r="W105" s="61">
        <v>0</v>
      </c>
      <c r="X105" s="61">
        <v>0</v>
      </c>
      <c r="Y105" s="61">
        <v>0</v>
      </c>
      <c r="Z105" s="461"/>
      <c r="AA105" s="461"/>
      <c r="AB105" s="461"/>
    </row>
    <row r="106" spans="1:209" collapsed="1" x14ac:dyDescent="0.25">
      <c r="A106" s="662" t="s">
        <v>1016</v>
      </c>
      <c r="B106" s="664">
        <v>5049</v>
      </c>
      <c r="C106" s="61"/>
      <c r="D106" s="61"/>
      <c r="E106" s="61"/>
      <c r="F106" s="60"/>
      <c r="G106" s="61"/>
      <c r="H106" s="61"/>
      <c r="I106" s="61"/>
      <c r="J106" s="60"/>
      <c r="K106" s="61"/>
      <c r="L106" s="61"/>
      <c r="M106" s="61"/>
      <c r="N106" s="61"/>
      <c r="O106" s="61"/>
      <c r="P106" s="61"/>
      <c r="Q106" s="61"/>
      <c r="R106" s="61"/>
      <c r="S106" s="61"/>
      <c r="T106" s="61"/>
      <c r="U106" s="61"/>
      <c r="V106" s="61"/>
      <c r="W106" s="61"/>
      <c r="X106" s="61"/>
      <c r="Y106" s="61"/>
      <c r="Z106" s="461"/>
      <c r="AA106" s="461"/>
      <c r="AB106" s="461"/>
    </row>
    <row r="107" spans="1:209" x14ac:dyDescent="0.25">
      <c r="A107" s="460" t="s">
        <v>2182</v>
      </c>
      <c r="B107" s="118">
        <v>8006</v>
      </c>
      <c r="C107" s="61">
        <v>0</v>
      </c>
      <c r="D107" s="61">
        <v>0</v>
      </c>
      <c r="E107" s="61">
        <v>0</v>
      </c>
      <c r="F107" s="60"/>
      <c r="G107" s="61">
        <v>7160591.6766101699</v>
      </c>
      <c r="H107" s="61">
        <v>28045650.733389828</v>
      </c>
      <c r="I107" s="61">
        <v>0</v>
      </c>
      <c r="J107" s="60"/>
      <c r="K107" s="61">
        <v>9540110.3267796598</v>
      </c>
      <c r="L107" s="61">
        <v>37365432.113220334</v>
      </c>
      <c r="M107" s="61">
        <v>0</v>
      </c>
      <c r="N107" s="61"/>
      <c r="O107" s="61">
        <v>0</v>
      </c>
      <c r="P107" s="61">
        <v>0</v>
      </c>
      <c r="Q107" s="61">
        <v>0</v>
      </c>
      <c r="R107" s="61"/>
      <c r="S107" s="61">
        <v>0</v>
      </c>
      <c r="T107" s="61">
        <v>0</v>
      </c>
      <c r="U107" s="61">
        <v>0</v>
      </c>
      <c r="V107" s="61"/>
      <c r="W107" s="61">
        <v>0</v>
      </c>
      <c r="X107" s="61">
        <v>0</v>
      </c>
      <c r="Y107" s="61">
        <v>0</v>
      </c>
      <c r="Z107" s="461"/>
      <c r="AA107" s="461"/>
      <c r="AB107" s="461"/>
    </row>
    <row r="108" spans="1:209" ht="15.75" thickBot="1" x14ac:dyDescent="0.3">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row>
    <row r="109" spans="1:209" ht="15.75" collapsed="1" thickTop="1" x14ac:dyDescent="0.25">
      <c r="Z109" s="60"/>
    </row>
    <row r="110" spans="1:209" x14ac:dyDescent="0.25">
      <c r="B110" s="493"/>
      <c r="C110" s="456"/>
      <c r="D110" s="456"/>
      <c r="E110" s="456"/>
      <c r="F110" s="457"/>
      <c r="G110" s="456"/>
      <c r="H110" s="456"/>
      <c r="I110" s="456"/>
      <c r="J110" s="457"/>
      <c r="K110" s="456"/>
      <c r="L110" s="456"/>
      <c r="M110" s="456"/>
      <c r="N110" s="457"/>
      <c r="O110" s="456"/>
      <c r="P110" s="456"/>
      <c r="Q110" s="456"/>
      <c r="R110" s="457"/>
      <c r="S110" s="456"/>
      <c r="T110" s="456"/>
      <c r="U110" s="456"/>
      <c r="V110" s="457"/>
      <c r="W110" s="456"/>
      <c r="X110" s="456"/>
      <c r="Y110" s="456"/>
      <c r="Z110" s="60"/>
      <c r="AA110" s="61"/>
      <c r="AB110" s="61"/>
      <c r="AC110" s="60"/>
      <c r="AD110" s="61"/>
      <c r="AE110" s="61"/>
      <c r="AF110" s="61"/>
      <c r="AG110" s="60"/>
      <c r="AH110" s="61"/>
      <c r="AI110" s="61"/>
      <c r="AJ110" s="61"/>
      <c r="AK110" s="60"/>
      <c r="AL110" s="61"/>
      <c r="AM110" s="61"/>
      <c r="AN110" s="61"/>
      <c r="AO110" s="60"/>
      <c r="AP110" s="61"/>
      <c r="AQ110" s="61"/>
      <c r="AR110" s="61"/>
      <c r="AS110" s="60"/>
      <c r="AT110" s="61"/>
      <c r="AU110" s="55"/>
      <c r="AV110" s="118"/>
      <c r="AW110" s="61"/>
      <c r="AX110" s="61"/>
      <c r="AY110" s="61"/>
      <c r="AZ110" s="60"/>
      <c r="BA110" s="61"/>
      <c r="BB110" s="61"/>
      <c r="BC110" s="61"/>
      <c r="BD110" s="60"/>
      <c r="BE110" s="61"/>
      <c r="BF110" s="61"/>
      <c r="BG110" s="61"/>
      <c r="BH110" s="60"/>
      <c r="BI110" s="61"/>
      <c r="BJ110" s="61"/>
      <c r="BK110" s="61"/>
      <c r="BL110" s="60"/>
      <c r="BM110" s="61"/>
      <c r="BN110" s="61"/>
      <c r="BO110" s="61"/>
      <c r="BP110" s="60"/>
      <c r="BQ110" s="61"/>
      <c r="BR110" s="55"/>
      <c r="BS110" s="118"/>
      <c r="BT110" s="61"/>
      <c r="BU110" s="61"/>
      <c r="BV110" s="61"/>
      <c r="BW110" s="60"/>
      <c r="BX110" s="61"/>
      <c r="BY110" s="61"/>
      <c r="BZ110" s="61"/>
      <c r="CA110" s="60"/>
      <c r="CB110" s="61"/>
      <c r="CC110" s="61"/>
      <c r="CD110" s="61"/>
      <c r="CE110" s="60"/>
      <c r="CF110" s="61"/>
      <c r="CG110" s="61"/>
      <c r="CH110" s="61"/>
      <c r="CI110" s="60"/>
      <c r="CJ110" s="61"/>
      <c r="CK110" s="61"/>
      <c r="CL110" s="61"/>
      <c r="CM110" s="60"/>
      <c r="CN110" s="61"/>
      <c r="CO110" s="55"/>
      <c r="CP110" s="118"/>
      <c r="CQ110" s="61"/>
      <c r="CR110" s="61"/>
      <c r="CS110" s="61"/>
      <c r="CT110" s="60"/>
      <c r="CU110" s="61"/>
      <c r="CV110" s="61"/>
      <c r="CW110" s="61"/>
      <c r="CX110" s="60"/>
      <c r="CY110" s="61"/>
      <c r="CZ110" s="61"/>
      <c r="DA110" s="61"/>
      <c r="DB110" s="60"/>
      <c r="DC110" s="61"/>
      <c r="DD110" s="61"/>
      <c r="DE110" s="61"/>
      <c r="DF110" s="60"/>
      <c r="DG110" s="61"/>
      <c r="DH110" s="61"/>
      <c r="DI110" s="61"/>
      <c r="DJ110" s="60"/>
      <c r="DK110" s="61"/>
      <c r="DL110" s="55"/>
      <c r="DM110" s="118"/>
      <c r="DN110" s="61"/>
      <c r="DO110" s="61"/>
      <c r="DP110" s="61"/>
      <c r="DQ110" s="60"/>
      <c r="DR110" s="61"/>
      <c r="DS110" s="61"/>
      <c r="DT110" s="61"/>
      <c r="DU110" s="60"/>
      <c r="DV110" s="61"/>
      <c r="DW110" s="61"/>
      <c r="DX110" s="61"/>
      <c r="DY110" s="60"/>
      <c r="DZ110" s="61"/>
      <c r="EA110" s="61"/>
      <c r="EB110" s="61"/>
      <c r="EC110" s="60"/>
      <c r="ED110" s="61"/>
      <c r="EE110" s="61"/>
      <c r="EF110" s="61"/>
      <c r="EG110" s="60"/>
      <c r="EH110" s="61"/>
      <c r="EI110" s="55"/>
      <c r="EJ110" s="118"/>
      <c r="EK110" s="61"/>
      <c r="EL110" s="61"/>
      <c r="EM110" s="61"/>
      <c r="EN110" s="60"/>
      <c r="EO110" s="61"/>
      <c r="EP110" s="61"/>
      <c r="EQ110" s="61"/>
      <c r="ER110" s="60"/>
      <c r="ES110" s="61"/>
      <c r="ET110" s="61"/>
      <c r="EU110" s="61"/>
      <c r="EV110" s="60"/>
      <c r="EW110" s="61"/>
      <c r="EX110" s="61"/>
      <c r="EY110" s="61"/>
      <c r="EZ110" s="60"/>
      <c r="FA110" s="61"/>
      <c r="FB110" s="61"/>
      <c r="FC110" s="61"/>
      <c r="FD110" s="60"/>
      <c r="FE110" s="61"/>
      <c r="FF110" s="55"/>
      <c r="FG110" s="118"/>
      <c r="FH110" s="61"/>
      <c r="FI110" s="61"/>
      <c r="FJ110" s="61"/>
      <c r="FK110" s="60"/>
      <c r="FL110" s="61"/>
      <c r="FM110" s="61"/>
      <c r="FN110" s="61"/>
      <c r="FO110" s="60"/>
      <c r="FP110" s="61"/>
      <c r="FQ110" s="61"/>
      <c r="FR110" s="61"/>
      <c r="FS110" s="60"/>
      <c r="FT110" s="61"/>
      <c r="FU110" s="61"/>
      <c r="FV110" s="61"/>
      <c r="FW110" s="60"/>
      <c r="FX110" s="61"/>
      <c r="FY110" s="61"/>
      <c r="FZ110" s="61"/>
      <c r="GA110" s="60"/>
      <c r="GB110" s="61"/>
      <c r="GC110" s="55"/>
      <c r="GD110" s="118"/>
      <c r="GE110" s="61"/>
      <c r="GF110" s="61"/>
      <c r="GG110" s="61"/>
      <c r="GH110" s="60"/>
      <c r="GI110" s="61"/>
      <c r="GJ110" s="61"/>
      <c r="GK110" s="61"/>
      <c r="GL110" s="60"/>
      <c r="GM110" s="61"/>
      <c r="GN110" s="61"/>
      <c r="GO110" s="61"/>
      <c r="GP110" s="60"/>
      <c r="GQ110" s="61"/>
      <c r="GR110" s="61"/>
      <c r="GS110" s="61"/>
      <c r="GT110" s="60"/>
      <c r="GU110" s="61"/>
      <c r="GV110" s="61"/>
      <c r="GW110" s="61"/>
      <c r="GX110" s="60"/>
      <c r="GY110" s="61"/>
      <c r="GZ110" s="55"/>
      <c r="HA110" s="118"/>
    </row>
    <row r="111" spans="1:209" collapsed="1" x14ac:dyDescent="0.25">
      <c r="B111" s="493"/>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row>
    <row r="114" spans="9:10" x14ac:dyDescent="0.25">
      <c r="I114" s="117"/>
      <c r="J114" s="493"/>
    </row>
    <row r="115" spans="9:10" x14ac:dyDescent="0.25">
      <c r="I115" s="117"/>
      <c r="J115" s="493"/>
    </row>
    <row r="116" spans="9:10" x14ac:dyDescent="0.25">
      <c r="I116" s="117"/>
      <c r="J116" s="493"/>
    </row>
    <row r="117" spans="9:10" x14ac:dyDescent="0.25">
      <c r="I117" s="117"/>
      <c r="J117" s="493"/>
    </row>
    <row r="118" spans="9:10" x14ac:dyDescent="0.25">
      <c r="I118" s="117"/>
      <c r="J118" s="493"/>
    </row>
    <row r="119" spans="9:10" x14ac:dyDescent="0.25">
      <c r="I119" s="117"/>
      <c r="J119" s="493"/>
    </row>
    <row r="120" spans="9:10" x14ac:dyDescent="0.25">
      <c r="I120" s="117"/>
      <c r="J120" s="493"/>
    </row>
    <row r="121" spans="9:10" x14ac:dyDescent="0.25">
      <c r="I121" s="117"/>
      <c r="J121" s="493"/>
    </row>
    <row r="122" spans="9:10" x14ac:dyDescent="0.25">
      <c r="I122" s="117"/>
      <c r="J122" s="493"/>
    </row>
    <row r="123" spans="9:10" x14ac:dyDescent="0.25">
      <c r="I123" s="117"/>
      <c r="J123" s="493"/>
    </row>
    <row r="124" spans="9:10" x14ac:dyDescent="0.25">
      <c r="I124" s="117"/>
      <c r="J124" s="493"/>
    </row>
    <row r="125" spans="9:10" x14ac:dyDescent="0.25">
      <c r="I125" s="117"/>
      <c r="J125" s="493"/>
    </row>
    <row r="126" spans="9:10" x14ac:dyDescent="0.25">
      <c r="I126" s="117"/>
      <c r="J126" s="493"/>
    </row>
    <row r="127" spans="9:10" x14ac:dyDescent="0.25">
      <c r="I127" s="117"/>
      <c r="J127" s="494"/>
    </row>
    <row r="128" spans="9:10" x14ac:dyDescent="0.25">
      <c r="I128" s="117"/>
      <c r="J128" s="493"/>
    </row>
    <row r="129" spans="9:10" x14ac:dyDescent="0.25">
      <c r="I129" s="117"/>
      <c r="J129" s="493"/>
    </row>
    <row r="130" spans="9:10" x14ac:dyDescent="0.25">
      <c r="I130" s="117"/>
      <c r="J130" s="493"/>
    </row>
    <row r="131" spans="9:10" x14ac:dyDescent="0.25">
      <c r="I131" s="117"/>
      <c r="J131" s="493"/>
    </row>
    <row r="132" spans="9:10" x14ac:dyDescent="0.25">
      <c r="J132" s="493"/>
    </row>
    <row r="133" spans="9:10" x14ac:dyDescent="0.25">
      <c r="J133" s="493"/>
    </row>
  </sheetData>
  <autoFilter ref="A3:Z108"/>
  <mergeCells count="12">
    <mergeCell ref="C2:F2"/>
    <mergeCell ref="S1:V1"/>
    <mergeCell ref="W1:Z1"/>
    <mergeCell ref="C1:F1"/>
    <mergeCell ref="G1:J1"/>
    <mergeCell ref="K1:N1"/>
    <mergeCell ref="O1:R1"/>
    <mergeCell ref="G2:J2"/>
    <mergeCell ref="K2:N2"/>
    <mergeCell ref="O2:R2"/>
    <mergeCell ref="S2:V2"/>
    <mergeCell ref="W2:Z2"/>
  </mergeCells>
  <phoneticPr fontId="23" type="noConversion"/>
  <pageMargins left="0.75" right="0.75" top="1" bottom="1" header="0.5" footer="0.5"/>
  <pageSetup scale="50" pageOrder="overThenDown" orientation="portrait" r:id="rId1"/>
  <headerFooter alignWithMargins="0">
    <oddHeader>&amp;RTO8 Annual Update (Revised)
Attachment 2
WP‐Schedule 7-2011 Plant Study
Page &amp;P of &amp;N</oddHeader>
    <oddFooter>&amp;C&amp;A</oddFooter>
  </headerFooter>
  <colBreaks count="2" manualBreakCount="2">
    <brk id="10" max="1048575" man="1"/>
    <brk id="1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15</vt:i4>
      </vt:variant>
    </vt:vector>
  </HeadingPairs>
  <TitlesOfParts>
    <vt:vector size="27" baseType="lpstr">
      <vt:lpstr>Plant Total by Account</vt:lpstr>
      <vt:lpstr>High-Low Volt Summary</vt:lpstr>
      <vt:lpstr>High_Low Voltage Mix Summary</vt:lpstr>
      <vt:lpstr>Prior Year Comparison</vt:lpstr>
      <vt:lpstr>Assumptions</vt:lpstr>
      <vt:lpstr>TS by Location</vt:lpstr>
      <vt:lpstr>ISO w_System Splits</vt:lpstr>
      <vt:lpstr>DS by Location</vt:lpstr>
      <vt:lpstr>Mix Substation Location Summary</vt:lpstr>
      <vt:lpstr>TL COST SUMMARY</vt:lpstr>
      <vt:lpstr>Trans Line Reconciliation</vt:lpstr>
      <vt:lpstr>Antelope Bailey Split BA</vt:lpstr>
      <vt:lpstr>'Antelope Bailey Split BA'!Print_Area</vt:lpstr>
      <vt:lpstr>Assumptions!Print_Area</vt:lpstr>
      <vt:lpstr>'DS by Location'!Print_Area</vt:lpstr>
      <vt:lpstr>'High-Low Volt Summary'!Print_Area</vt:lpstr>
      <vt:lpstr>'ISO w_System Splits'!Print_Area</vt:lpstr>
      <vt:lpstr>'Plant Total by Account'!Print_Area</vt:lpstr>
      <vt:lpstr>'TL COST SUMMARY'!Print_Area</vt:lpstr>
      <vt:lpstr>'Trans Line Reconciliation'!Print_Area</vt:lpstr>
      <vt:lpstr>'TS by Location'!Print_Area</vt:lpstr>
      <vt:lpstr>'DS by Location'!Print_Titles</vt:lpstr>
      <vt:lpstr>'ISO w_System Splits'!Print_Titles</vt:lpstr>
      <vt:lpstr>'Mix Substation Location Summary'!Print_Titles</vt:lpstr>
      <vt:lpstr>'TL COST SUMMARY'!Print_Titles</vt:lpstr>
      <vt:lpstr>'Trans Line Reconciliation'!Print_Titles</vt:lpstr>
      <vt:lpstr>'TS by Location'!Print_Titles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Dayov, Jeffry</dc:creator>
  <dc:description>Sent ot RP&amp;A 5/16/12</dc:description>
  <cp:lastModifiedBy>Kim, Jee Young</cp:lastModifiedBy>
  <cp:lastPrinted>2014-09-10T23:42:51Z</cp:lastPrinted>
  <dcterms:created xsi:type="dcterms:W3CDTF">2009-05-26T23:59:18Z</dcterms:created>
  <dcterms:modified xsi:type="dcterms:W3CDTF">2014-09-10T23:43:09Z</dcterms:modified>
</cp:coreProperties>
</file>